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01"/>
  <workbookPr autoCompressPictures="0"/>
  <mc:AlternateContent xmlns:mc="http://schemas.openxmlformats.org/markup-compatibility/2006">
    <mc:Choice Requires="x15">
      <x15ac:absPath xmlns:x15ac="http://schemas.microsoft.com/office/spreadsheetml/2010/11/ac" url="C:\Dropbox\Workshops\2022\"/>
    </mc:Choice>
  </mc:AlternateContent>
  <xr:revisionPtr revIDLastSave="0" documentId="8_{53DD4D08-488E-4FE8-A0C1-CAB7C567DA70}" xr6:coauthVersionLast="47" xr6:coauthVersionMax="47" xr10:uidLastSave="{00000000-0000-0000-0000-000000000000}"/>
  <workbookProtection workbookAlgorithmName="SHA-512" workbookHashValue="GrLhqQ7EpguNE4jkRSVdr7rxY01N9tlp9kg/7W5yekIbkHEl0ak+pPMSMziyZsdsFiU6DKqVLn6G+C+3v25jxQ==" workbookSaltValue="brnoNaLiWpaijjOWYGQjYw==" workbookSpinCount="100000" lockStructure="1"/>
  <bookViews>
    <workbookView xWindow="28680" yWindow="-120" windowWidth="29040" windowHeight="15720" xr2:uid="{00000000-000D-0000-FFFF-FFFF00000000}"/>
  </bookViews>
  <sheets>
    <sheet name="Fertilizer Calc" sheetId="18" r:id="rId1"/>
    <sheet name="Soil Test Reading" sheetId="20" r:id="rId2"/>
    <sheet name="Fertilizer Calc Pricing" sheetId="10" r:id="rId3"/>
  </sheets>
  <definedNames>
    <definedName name="DryFertilizer">'Fertilizer Calc Pricing'!$D$3:$D$28</definedName>
    <definedName name="LiquidFertilizer">'Fertilizer Calc Pricing'!$D$32:$D$57</definedName>
    <definedName name="_xlnm.Print_Area" localSheetId="2">'Fertilizer Calc Pricing'!$A$1:$AQ$58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B22" i="10" l="1"/>
  <c r="L6" i="18"/>
  <c r="AR33" i="10"/>
  <c r="AR36" i="10" s="1"/>
  <c r="AW36" i="10" s="1"/>
  <c r="D45" i="20"/>
  <c r="C45" i="20" s="1"/>
  <c r="D26" i="20"/>
  <c r="J26" i="20" s="1"/>
  <c r="I45" i="20"/>
  <c r="D25" i="20"/>
  <c r="J25" i="20" s="1"/>
  <c r="U12" i="20"/>
  <c r="L6" i="20"/>
  <c r="L36" i="20" s="1"/>
  <c r="D36" i="20" s="1"/>
  <c r="E6" i="20"/>
  <c r="F6" i="20"/>
  <c r="X9" i="20"/>
  <c r="F8" i="20"/>
  <c r="D46" i="20"/>
  <c r="C46" i="20" s="1"/>
  <c r="D27" i="20"/>
  <c r="C27" i="20"/>
  <c r="D44" i="20"/>
  <c r="C44" i="20" s="1"/>
  <c r="D43" i="20"/>
  <c r="C43" i="20" s="1"/>
  <c r="D24" i="20"/>
  <c r="C24" i="20" s="1"/>
  <c r="L44" i="20"/>
  <c r="I46" i="20"/>
  <c r="Q6" i="20"/>
  <c r="Q23" i="20" s="1"/>
  <c r="D23" i="20" s="1"/>
  <c r="C23" i="20" s="1"/>
  <c r="P6" i="20"/>
  <c r="P40" i="20" s="1"/>
  <c r="D40" i="20" s="1"/>
  <c r="N6" i="20"/>
  <c r="N20" i="20" s="1"/>
  <c r="D20" i="20" s="1"/>
  <c r="N39" i="20"/>
  <c r="D39" i="20" s="1"/>
  <c r="M6" i="20"/>
  <c r="M38" i="20" s="1"/>
  <c r="D38" i="20" s="1"/>
  <c r="D35" i="20"/>
  <c r="C35" i="20" s="1"/>
  <c r="D16" i="20"/>
  <c r="C16" i="20" s="1"/>
  <c r="J44" i="20"/>
  <c r="V17" i="20"/>
  <c r="T17" i="20"/>
  <c r="V15" i="20"/>
  <c r="T15" i="20"/>
  <c r="W14" i="20"/>
  <c r="U14" i="20"/>
  <c r="U13" i="20"/>
  <c r="H6" i="20"/>
  <c r="H8" i="20" s="1"/>
  <c r="U7" i="20"/>
  <c r="V6" i="20"/>
  <c r="O6" i="20"/>
  <c r="K6" i="20"/>
  <c r="J6" i="20"/>
  <c r="I6" i="20"/>
  <c r="G6" i="20"/>
  <c r="D6" i="20"/>
  <c r="V5" i="20"/>
  <c r="V4" i="20"/>
  <c r="V3" i="20"/>
  <c r="V2" i="20"/>
  <c r="AV25" i="10"/>
  <c r="AV26" i="10" s="1"/>
  <c r="AW26" i="10" s="1"/>
  <c r="G57" i="10"/>
  <c r="H57" i="10" s="1"/>
  <c r="G33" i="10"/>
  <c r="H33" i="10" s="1"/>
  <c r="G34" i="10"/>
  <c r="H34" i="10" s="1"/>
  <c r="G35" i="10"/>
  <c r="H35" i="10" s="1"/>
  <c r="G36" i="10"/>
  <c r="H36" i="10" s="1"/>
  <c r="G37" i="10"/>
  <c r="H37" i="10" s="1"/>
  <c r="G38" i="10"/>
  <c r="H38" i="10" s="1"/>
  <c r="G39" i="10"/>
  <c r="H39" i="10" s="1"/>
  <c r="G40" i="10"/>
  <c r="H40" i="10" s="1"/>
  <c r="G41" i="10"/>
  <c r="H41" i="10" s="1"/>
  <c r="G42" i="10"/>
  <c r="H42" i="10" s="1"/>
  <c r="G43" i="10"/>
  <c r="H43" i="10" s="1"/>
  <c r="G44" i="10"/>
  <c r="H44" i="10" s="1"/>
  <c r="G45" i="10"/>
  <c r="H45" i="10" s="1"/>
  <c r="G46" i="10"/>
  <c r="H46" i="10" s="1"/>
  <c r="G47" i="10"/>
  <c r="H47" i="10" s="1"/>
  <c r="G48" i="10"/>
  <c r="H48" i="10" s="1"/>
  <c r="G49" i="10"/>
  <c r="H49" i="10" s="1"/>
  <c r="G50" i="10"/>
  <c r="H50" i="10" s="1"/>
  <c r="G51" i="10"/>
  <c r="H51" i="10" s="1"/>
  <c r="G52" i="10"/>
  <c r="H52" i="10" s="1"/>
  <c r="G53" i="10"/>
  <c r="H53" i="10" s="1"/>
  <c r="G54" i="10"/>
  <c r="H54" i="10" s="1"/>
  <c r="AO54" i="10"/>
  <c r="G55" i="10"/>
  <c r="H55" i="10" s="1"/>
  <c r="G56" i="10"/>
  <c r="H56" i="10" s="1"/>
  <c r="AK56" i="10"/>
  <c r="G32" i="10"/>
  <c r="F21" i="18" s="1"/>
  <c r="G4" i="10"/>
  <c r="H4" i="10" s="1"/>
  <c r="W17" i="18"/>
  <c r="X17" i="18"/>
  <c r="AA17" i="18"/>
  <c r="AB17" i="18"/>
  <c r="AC17" i="18"/>
  <c r="AD17" i="18"/>
  <c r="W18" i="18"/>
  <c r="X18" i="18"/>
  <c r="W19" i="18"/>
  <c r="X19" i="18"/>
  <c r="AK57" i="10"/>
  <c r="AL57" i="10"/>
  <c r="AM57" i="10"/>
  <c r="AN57" i="10"/>
  <c r="AO57" i="10"/>
  <c r="U21" i="18"/>
  <c r="V21" i="18"/>
  <c r="W21" i="18"/>
  <c r="X21" i="18"/>
  <c r="Z21" i="18"/>
  <c r="AA21" i="18"/>
  <c r="AB21" i="18"/>
  <c r="AC21" i="18"/>
  <c r="AD21" i="18"/>
  <c r="AD16" i="18"/>
  <c r="AC16" i="18"/>
  <c r="AB16" i="18"/>
  <c r="AA16" i="18"/>
  <c r="Z16" i="18"/>
  <c r="Y16" i="18"/>
  <c r="X16" i="18"/>
  <c r="W16" i="18"/>
  <c r="G7" i="10"/>
  <c r="H7" i="10" s="1"/>
  <c r="W4" i="18"/>
  <c r="X4" i="18"/>
  <c r="G18" i="10"/>
  <c r="H18" i="10" s="1"/>
  <c r="G19" i="10"/>
  <c r="H19" i="10" s="1"/>
  <c r="AA4" i="18"/>
  <c r="AB4" i="18"/>
  <c r="AC4" i="18"/>
  <c r="AD4" i="18"/>
  <c r="G8" i="10"/>
  <c r="H8" i="10" s="1"/>
  <c r="W5" i="18"/>
  <c r="X5" i="18"/>
  <c r="G16" i="10"/>
  <c r="H16" i="10" s="1"/>
  <c r="AA5" i="18"/>
  <c r="AB5" i="18"/>
  <c r="AC5" i="18"/>
  <c r="G21" i="10"/>
  <c r="H21" i="10" s="1"/>
  <c r="AD5" i="18"/>
  <c r="G5" i="10"/>
  <c r="H5" i="10" s="1"/>
  <c r="U6" i="18"/>
  <c r="W6" i="18"/>
  <c r="X6" i="18"/>
  <c r="Z6" i="18"/>
  <c r="AA6" i="18"/>
  <c r="AB6" i="18"/>
  <c r="AC6" i="18"/>
  <c r="V7" i="18"/>
  <c r="X8" i="18"/>
  <c r="Z8" i="18"/>
  <c r="AB8" i="18"/>
  <c r="AC8" i="18"/>
  <c r="AD8" i="18"/>
  <c r="G6" i="10"/>
  <c r="H6" i="10" s="1"/>
  <c r="G10" i="10"/>
  <c r="H10" i="10" s="1"/>
  <c r="G27" i="10"/>
  <c r="H27" i="10" s="1"/>
  <c r="G25" i="10"/>
  <c r="H25" i="10" s="1"/>
  <c r="G24" i="10"/>
  <c r="H24" i="10" s="1"/>
  <c r="W9" i="18"/>
  <c r="X9" i="18"/>
  <c r="Z9" i="18"/>
  <c r="AB9" i="18"/>
  <c r="AC9" i="18"/>
  <c r="G13" i="10"/>
  <c r="H13" i="10" s="1"/>
  <c r="T10" i="18"/>
  <c r="U10" i="18"/>
  <c r="X10" i="18"/>
  <c r="AB10" i="18"/>
  <c r="AC10" i="18"/>
  <c r="AD10" i="18"/>
  <c r="V11" i="18"/>
  <c r="AA11" i="18"/>
  <c r="AB11" i="18"/>
  <c r="AC11" i="18"/>
  <c r="AD11" i="18"/>
  <c r="T12" i="18"/>
  <c r="U12" i="18"/>
  <c r="V12" i="18"/>
  <c r="W12" i="18"/>
  <c r="X12" i="18"/>
  <c r="Y12" i="18"/>
  <c r="Z12" i="18"/>
  <c r="AA12" i="18"/>
  <c r="AB12" i="18"/>
  <c r="AC12" i="18"/>
  <c r="AD12" i="18"/>
  <c r="AD3" i="18"/>
  <c r="AC3" i="18"/>
  <c r="AB3" i="18"/>
  <c r="AA3" i="18"/>
  <c r="Z3" i="18"/>
  <c r="X3" i="18"/>
  <c r="W3" i="18"/>
  <c r="V3" i="18"/>
  <c r="G17" i="18"/>
  <c r="H17" i="18"/>
  <c r="I17" i="18"/>
  <c r="J17" i="18"/>
  <c r="K17" i="18"/>
  <c r="L17" i="18"/>
  <c r="M17" i="18"/>
  <c r="N17" i="18"/>
  <c r="O17" i="18"/>
  <c r="P17" i="18"/>
  <c r="Q17" i="18"/>
  <c r="G18" i="18"/>
  <c r="H18" i="18"/>
  <c r="I18" i="18"/>
  <c r="J18" i="18"/>
  <c r="K18" i="18"/>
  <c r="L18" i="18"/>
  <c r="M18" i="18"/>
  <c r="N18" i="18"/>
  <c r="O18" i="18"/>
  <c r="P18" i="18"/>
  <c r="Q18" i="18"/>
  <c r="G19" i="18"/>
  <c r="H19" i="18"/>
  <c r="I19" i="18"/>
  <c r="J19" i="18"/>
  <c r="K19" i="18"/>
  <c r="L19" i="18"/>
  <c r="M19" i="18"/>
  <c r="N19" i="18"/>
  <c r="O19" i="18"/>
  <c r="P19" i="18"/>
  <c r="Q19" i="18"/>
  <c r="G20" i="18"/>
  <c r="H20" i="18"/>
  <c r="I20" i="18"/>
  <c r="J20" i="18"/>
  <c r="K20" i="18"/>
  <c r="L20" i="18"/>
  <c r="M20" i="18"/>
  <c r="N20" i="18"/>
  <c r="O20" i="18"/>
  <c r="P20" i="18"/>
  <c r="Q20" i="18"/>
  <c r="G21" i="18"/>
  <c r="H21" i="18"/>
  <c r="I21" i="18"/>
  <c r="J21" i="18"/>
  <c r="K21" i="18"/>
  <c r="L21" i="18"/>
  <c r="M21" i="18"/>
  <c r="N21" i="18"/>
  <c r="O21" i="18"/>
  <c r="P21" i="18"/>
  <c r="Q21" i="18"/>
  <c r="Q16" i="18"/>
  <c r="P16" i="18"/>
  <c r="O16" i="18"/>
  <c r="N16" i="18"/>
  <c r="M16" i="18"/>
  <c r="L16" i="18"/>
  <c r="K16" i="18"/>
  <c r="J16" i="18"/>
  <c r="I16" i="18"/>
  <c r="H16" i="18"/>
  <c r="G16" i="18"/>
  <c r="G4" i="18"/>
  <c r="H4" i="18"/>
  <c r="I4" i="18"/>
  <c r="J4" i="18"/>
  <c r="K4" i="18"/>
  <c r="L4" i="18"/>
  <c r="M4" i="18"/>
  <c r="N4" i="18"/>
  <c r="O4" i="18"/>
  <c r="P4" i="18"/>
  <c r="Q4" i="18"/>
  <c r="G5" i="18"/>
  <c r="H5" i="18"/>
  <c r="I5" i="18"/>
  <c r="J5" i="18"/>
  <c r="K5" i="18"/>
  <c r="L5" i="18"/>
  <c r="M5" i="18"/>
  <c r="N5" i="18"/>
  <c r="O5" i="18"/>
  <c r="P5" i="18"/>
  <c r="Q5" i="18"/>
  <c r="G6" i="18"/>
  <c r="H6" i="18"/>
  <c r="I6" i="18"/>
  <c r="J6" i="18"/>
  <c r="K6" i="18"/>
  <c r="M6" i="18"/>
  <c r="N6" i="18"/>
  <c r="O6" i="18"/>
  <c r="P6" i="18"/>
  <c r="Q6" i="18"/>
  <c r="G7" i="18"/>
  <c r="H7" i="18"/>
  <c r="I7" i="18"/>
  <c r="J7" i="18"/>
  <c r="K7" i="18"/>
  <c r="L7" i="18"/>
  <c r="M7" i="18"/>
  <c r="N7" i="18"/>
  <c r="O7" i="18"/>
  <c r="P7" i="18"/>
  <c r="Q7" i="18"/>
  <c r="G8" i="18"/>
  <c r="H8" i="18"/>
  <c r="I8" i="18"/>
  <c r="J8" i="18"/>
  <c r="K8" i="18"/>
  <c r="L8" i="18"/>
  <c r="M8" i="18"/>
  <c r="N8" i="18"/>
  <c r="O8" i="18"/>
  <c r="P8" i="18"/>
  <c r="Q8" i="18"/>
  <c r="G9" i="18"/>
  <c r="H9" i="18"/>
  <c r="I9" i="18"/>
  <c r="J9" i="18"/>
  <c r="K9" i="18"/>
  <c r="L9" i="18"/>
  <c r="M9" i="18"/>
  <c r="N9" i="18"/>
  <c r="O9" i="18"/>
  <c r="P9" i="18"/>
  <c r="Q9" i="18"/>
  <c r="G10" i="18"/>
  <c r="H10" i="18"/>
  <c r="I10" i="18"/>
  <c r="J10" i="18"/>
  <c r="K10" i="18"/>
  <c r="L10" i="18"/>
  <c r="M10" i="18"/>
  <c r="N10" i="18"/>
  <c r="O10" i="18"/>
  <c r="P10" i="18"/>
  <c r="Q10" i="18"/>
  <c r="G11" i="18"/>
  <c r="H11" i="18"/>
  <c r="I11" i="18"/>
  <c r="J11" i="18"/>
  <c r="K11" i="18"/>
  <c r="L11" i="18"/>
  <c r="M11" i="18"/>
  <c r="N11" i="18"/>
  <c r="O11" i="18"/>
  <c r="P11" i="18"/>
  <c r="Q11" i="18"/>
  <c r="G12" i="18"/>
  <c r="H12" i="18"/>
  <c r="I12" i="18"/>
  <c r="J12" i="18"/>
  <c r="K12" i="18"/>
  <c r="L12" i="18"/>
  <c r="M12" i="18"/>
  <c r="N12" i="18"/>
  <c r="O12" i="18"/>
  <c r="P12" i="18"/>
  <c r="Q12" i="18"/>
  <c r="Q3" i="18"/>
  <c r="P3" i="18"/>
  <c r="O3" i="18"/>
  <c r="N3" i="18"/>
  <c r="M3" i="18"/>
  <c r="L3" i="18"/>
  <c r="K3" i="18"/>
  <c r="J3" i="18"/>
  <c r="F8" i="18"/>
  <c r="G17" i="10"/>
  <c r="H17" i="10" s="1"/>
  <c r="F12" i="18"/>
  <c r="I3" i="18"/>
  <c r="H3" i="18"/>
  <c r="G3" i="18"/>
  <c r="G28" i="10"/>
  <c r="H28" i="10" s="1"/>
  <c r="G26" i="10"/>
  <c r="H26" i="10" s="1"/>
  <c r="G23" i="10"/>
  <c r="H23" i="10" s="1"/>
  <c r="G22" i="10"/>
  <c r="H22" i="10" s="1"/>
  <c r="G20" i="10"/>
  <c r="H20" i="10" s="1"/>
  <c r="AC7" i="18"/>
  <c r="G15" i="10"/>
  <c r="H15" i="10" s="1"/>
  <c r="G14" i="10"/>
  <c r="H14" i="10" s="1"/>
  <c r="G12" i="10"/>
  <c r="H12" i="10" s="1"/>
  <c r="G11" i="10"/>
  <c r="H11" i="10" s="1"/>
  <c r="G9" i="10"/>
  <c r="H9" i="10" s="1"/>
  <c r="F10" i="18"/>
  <c r="T27" i="18"/>
  <c r="D12" i="18"/>
  <c r="Q30" i="18"/>
  <c r="Q32" i="18" s="1"/>
  <c r="Q31" i="18"/>
  <c r="P30" i="18"/>
  <c r="P31" i="18"/>
  <c r="O30" i="18"/>
  <c r="O31" i="18"/>
  <c r="N30" i="18"/>
  <c r="N32" i="18" s="1"/>
  <c r="N31" i="18"/>
  <c r="M30" i="18"/>
  <c r="M32" i="18" s="1"/>
  <c r="M31" i="18"/>
  <c r="L30" i="18"/>
  <c r="L31" i="18"/>
  <c r="K30" i="18"/>
  <c r="K31" i="18"/>
  <c r="J30" i="18"/>
  <c r="J31" i="18"/>
  <c r="I30" i="18"/>
  <c r="I32" i="18" s="1"/>
  <c r="I31" i="18"/>
  <c r="H30" i="18"/>
  <c r="H31" i="18"/>
  <c r="G30" i="18"/>
  <c r="G31" i="18"/>
  <c r="Q25" i="18"/>
  <c r="Q26" i="18"/>
  <c r="P25" i="18"/>
  <c r="P27" i="18" s="1"/>
  <c r="P26" i="18"/>
  <c r="O25" i="18"/>
  <c r="O27" i="18" s="1"/>
  <c r="O26" i="18"/>
  <c r="N25" i="18"/>
  <c r="N26" i="18"/>
  <c r="M25" i="18"/>
  <c r="M26" i="18"/>
  <c r="L25" i="18"/>
  <c r="L26" i="18"/>
  <c r="K25" i="18"/>
  <c r="K27" i="18" s="1"/>
  <c r="K26" i="18"/>
  <c r="J25" i="18"/>
  <c r="J26" i="18"/>
  <c r="J27" i="18" s="1"/>
  <c r="I25" i="18"/>
  <c r="I26" i="18"/>
  <c r="H25" i="18"/>
  <c r="H27" i="18" s="1"/>
  <c r="H26" i="18"/>
  <c r="G25" i="18"/>
  <c r="G27" i="18" s="1"/>
  <c r="G26" i="18"/>
  <c r="Y27" i="18"/>
  <c r="V27" i="18"/>
  <c r="U27" i="18"/>
  <c r="C20" i="18"/>
  <c r="C16" i="18"/>
  <c r="C17" i="18"/>
  <c r="C18" i="18"/>
  <c r="C19" i="18"/>
  <c r="C21" i="18"/>
  <c r="C3" i="18"/>
  <c r="AR35" i="10"/>
  <c r="AT8" i="10"/>
  <c r="AT37" i="10" s="1"/>
  <c r="AW37" i="10" s="1"/>
  <c r="AK49" i="10"/>
  <c r="AT49" i="10" s="1"/>
  <c r="AK50" i="10"/>
  <c r="AT50" i="10" s="1"/>
  <c r="AK51" i="10"/>
  <c r="AL53" i="10"/>
  <c r="AU53" i="10" s="1"/>
  <c r="Y18" i="18"/>
  <c r="Y17" i="18"/>
  <c r="AH48" i="10"/>
  <c r="AI48" i="10"/>
  <c r="AJ48" i="10"/>
  <c r="AK48" i="10"/>
  <c r="AO52" i="10"/>
  <c r="AX52" i="10" s="1"/>
  <c r="AH54" i="10"/>
  <c r="AI54" i="10"/>
  <c r="AK54" i="10"/>
  <c r="AL54" i="10"/>
  <c r="AM54" i="10"/>
  <c r="AN54" i="10"/>
  <c r="AH55" i="10"/>
  <c r="AI55" i="10"/>
  <c r="AK55" i="10"/>
  <c r="AL55" i="10"/>
  <c r="AM55" i="10"/>
  <c r="AN55" i="10"/>
  <c r="AO55" i="10"/>
  <c r="AH56" i="10"/>
  <c r="AI56" i="10"/>
  <c r="AL56" i="10"/>
  <c r="AM56" i="10"/>
  <c r="AN56" i="10"/>
  <c r="AO56" i="10"/>
  <c r="AB18" i="18"/>
  <c r="AC18" i="18"/>
  <c r="AD18" i="18"/>
  <c r="AH33" i="10"/>
  <c r="AH34" i="10"/>
  <c r="C12" i="18"/>
  <c r="C11" i="18"/>
  <c r="C10" i="18"/>
  <c r="C9" i="18"/>
  <c r="C8" i="18"/>
  <c r="C7" i="18"/>
  <c r="C6" i="18"/>
  <c r="C5" i="18"/>
  <c r="C4" i="18"/>
  <c r="Z58" i="10"/>
  <c r="V10" i="18"/>
  <c r="AT12" i="10"/>
  <c r="AR13" i="10"/>
  <c r="AW17" i="10"/>
  <c r="BB21" i="10"/>
  <c r="AV27" i="10"/>
  <c r="Z10" i="18"/>
  <c r="W7" i="18"/>
  <c r="X7" i="18"/>
  <c r="AA7" i="18"/>
  <c r="AR4" i="10"/>
  <c r="AS6" i="10" s="1"/>
  <c r="AJ56" i="10"/>
  <c r="AJ55" i="10"/>
  <c r="AJ54" i="10"/>
  <c r="AR34" i="10"/>
  <c r="W10" i="18"/>
  <c r="AB7" i="18"/>
  <c r="AT51" i="10"/>
  <c r="AR15" i="10"/>
  <c r="AD7" i="18"/>
  <c r="AA18" i="18"/>
  <c r="L27" i="18"/>
  <c r="Y9" i="18"/>
  <c r="V8" i="18"/>
  <c r="U3" i="18"/>
  <c r="C26" i="20"/>
  <c r="Z4" i="18"/>
  <c r="J27" i="20"/>
  <c r="E8" i="20"/>
  <c r="F33" i="20" s="1"/>
  <c r="D33" i="20" s="1"/>
  <c r="Q22" i="20"/>
  <c r="D22" i="20" s="1"/>
  <c r="C22" i="20" s="1"/>
  <c r="Q42" i="20"/>
  <c r="D42" i="20"/>
  <c r="C42" i="20" s="1"/>
  <c r="AR42" i="10"/>
  <c r="Q41" i="20"/>
  <c r="D41" i="20" s="1"/>
  <c r="C41" i="20" s="1"/>
  <c r="I27" i="20"/>
  <c r="I24" i="20"/>
  <c r="I43" i="20"/>
  <c r="T21" i="18"/>
  <c r="D21" i="18"/>
  <c r="AA9" i="18"/>
  <c r="V18" i="18"/>
  <c r="V20" i="18"/>
  <c r="U18" i="18"/>
  <c r="U20" i="18"/>
  <c r="W8" i="18"/>
  <c r="Y21" i="18"/>
  <c r="Y19" i="18"/>
  <c r="T18" i="18"/>
  <c r="V17" i="18"/>
  <c r="V4" i="18"/>
  <c r="V19" i="18"/>
  <c r="Y3" i="18"/>
  <c r="F15" i="20"/>
  <c r="D15" i="20" s="1"/>
  <c r="F34" i="20"/>
  <c r="D34" i="20" s="1"/>
  <c r="F7" i="18"/>
  <c r="AD6" i="18"/>
  <c r="T11" i="18"/>
  <c r="U11" i="18"/>
  <c r="Z5" i="18"/>
  <c r="Y5" i="18"/>
  <c r="T9" i="18"/>
  <c r="T5" i="18"/>
  <c r="U5" i="18"/>
  <c r="Z19" i="18"/>
  <c r="AD19" i="18"/>
  <c r="AA19" i="18"/>
  <c r="AC19" i="18"/>
  <c r="AB19" i="18"/>
  <c r="W20" i="18"/>
  <c r="X20" i="18"/>
  <c r="AC20" i="18"/>
  <c r="AB20" i="18"/>
  <c r="AD20" i="18"/>
  <c r="AA20" i="18"/>
  <c r="AA8" i="18"/>
  <c r="AA10" i="18"/>
  <c r="Z20" i="18"/>
  <c r="U9" i="18"/>
  <c r="Y4" i="18"/>
  <c r="V6" i="18"/>
  <c r="F9" i="18"/>
  <c r="AS7" i="10"/>
  <c r="AR7" i="10" s="1"/>
  <c r="V9" i="18"/>
  <c r="Y11" i="18"/>
  <c r="Z11" i="18"/>
  <c r="T8" i="18"/>
  <c r="T7" i="18"/>
  <c r="U7" i="18"/>
  <c r="D7" i="18"/>
  <c r="Y7" i="18"/>
  <c r="D10" i="18"/>
  <c r="Y10" i="18"/>
  <c r="U8" i="18"/>
  <c r="Z7" i="18"/>
  <c r="AR43" i="10"/>
  <c r="AR40" i="10"/>
  <c r="Y8" i="18"/>
  <c r="D8" i="18"/>
  <c r="V16" i="18"/>
  <c r="U17" i="18"/>
  <c r="T19" i="18"/>
  <c r="D19" i="18"/>
  <c r="U19" i="18"/>
  <c r="F16" i="18" l="1"/>
  <c r="F5" i="18"/>
  <c r="J46" i="20"/>
  <c r="F14" i="20"/>
  <c r="D14" i="20" s="1"/>
  <c r="E14" i="20" s="1"/>
  <c r="AV24" i="10"/>
  <c r="AU24" i="10" s="1"/>
  <c r="V14" i="20"/>
  <c r="M27" i="18"/>
  <c r="L37" i="20"/>
  <c r="D37" i="20" s="1"/>
  <c r="C37" i="20" s="1"/>
  <c r="I26" i="20"/>
  <c r="M19" i="20"/>
  <c r="D19" i="20" s="1"/>
  <c r="C19" i="20" s="1"/>
  <c r="N27" i="18"/>
  <c r="C25" i="20"/>
  <c r="I27" i="18"/>
  <c r="Q27" i="18"/>
  <c r="J24" i="20"/>
  <c r="P21" i="20"/>
  <c r="D21" i="20" s="1"/>
  <c r="L21" i="20" s="1"/>
  <c r="L17" i="20"/>
  <c r="D17" i="20" s="1"/>
  <c r="C17" i="20" s="1"/>
  <c r="H35" i="20"/>
  <c r="P32" i="18"/>
  <c r="H32" i="18"/>
  <c r="O32" i="18"/>
  <c r="L32" i="18"/>
  <c r="G32" i="18"/>
  <c r="J32" i="18"/>
  <c r="K32" i="18"/>
  <c r="AW5" i="10"/>
  <c r="AW16" i="10" s="1"/>
  <c r="AR39" i="10"/>
  <c r="AR46" i="10"/>
  <c r="AR41" i="10"/>
  <c r="AR45" i="10"/>
  <c r="AR44" i="10"/>
  <c r="F3" i="18"/>
  <c r="AT43" i="10"/>
  <c r="AS43" i="10" s="1"/>
  <c r="AT41" i="10"/>
  <c r="AS41" i="10" s="1"/>
  <c r="AT44" i="10"/>
  <c r="F20" i="18"/>
  <c r="F19" i="18"/>
  <c r="F6" i="18"/>
  <c r="F11" i="18"/>
  <c r="AD22" i="18"/>
  <c r="F17" i="18"/>
  <c r="X22" i="18"/>
  <c r="AC13" i="18"/>
  <c r="AB13" i="18"/>
  <c r="AB22" i="18"/>
  <c r="AC22" i="18"/>
  <c r="F18" i="18"/>
  <c r="C38" i="20"/>
  <c r="L38" i="20"/>
  <c r="L19" i="20"/>
  <c r="C39" i="20"/>
  <c r="L39" i="20"/>
  <c r="C34" i="20"/>
  <c r="E34" i="20"/>
  <c r="C20" i="20"/>
  <c r="L20" i="20"/>
  <c r="C15" i="20"/>
  <c r="E15" i="20"/>
  <c r="L40" i="20"/>
  <c r="C40" i="20"/>
  <c r="E33" i="20"/>
  <c r="C33" i="20"/>
  <c r="E17" i="20"/>
  <c r="AS16" i="10"/>
  <c r="AS15" i="10"/>
  <c r="AW15" i="10" s="1"/>
  <c r="AS14" i="10"/>
  <c r="AR6" i="10"/>
  <c r="E36" i="20"/>
  <c r="C36" i="20"/>
  <c r="C14" i="20"/>
  <c r="AR14" i="10"/>
  <c r="H16" i="20"/>
  <c r="L25" i="20"/>
  <c r="L18" i="20"/>
  <c r="D18" i="20" s="1"/>
  <c r="C18" i="20" s="1"/>
  <c r="J45" i="20"/>
  <c r="AR16" i="10"/>
  <c r="AT11" i="10"/>
  <c r="BB11" i="10" s="1"/>
  <c r="AT42" i="10"/>
  <c r="AS42" i="10" s="1"/>
  <c r="AA13" i="18"/>
  <c r="AT40" i="10"/>
  <c r="AS40" i="10" s="1"/>
  <c r="AT39" i="10"/>
  <c r="J43" i="20"/>
  <c r="Z13" i="18"/>
  <c r="W22" i="18"/>
  <c r="V15" i="10"/>
  <c r="Z15" i="10"/>
  <c r="F15" i="10"/>
  <c r="U15" i="10"/>
  <c r="F21" i="10"/>
  <c r="D9" i="18" s="1"/>
  <c r="AE21" i="10"/>
  <c r="AD9" i="18" s="1"/>
  <c r="AD13" i="18" s="1"/>
  <c r="V22" i="18"/>
  <c r="F4" i="18"/>
  <c r="W12" i="10"/>
  <c r="F12" i="10"/>
  <c r="F14" i="10"/>
  <c r="Z14" i="10"/>
  <c r="V14" i="10"/>
  <c r="U14" i="10"/>
  <c r="W10" i="10"/>
  <c r="F10" i="10"/>
  <c r="X10" i="10"/>
  <c r="X29" i="10" s="1"/>
  <c r="Z10" i="10"/>
  <c r="F4" i="10"/>
  <c r="D3" i="18" s="1"/>
  <c r="U4" i="10"/>
  <c r="T3" i="18" s="1"/>
  <c r="U6" i="10"/>
  <c r="V6" i="10"/>
  <c r="F6" i="10"/>
  <c r="Z9" i="10"/>
  <c r="W9" i="10"/>
  <c r="F9" i="10"/>
  <c r="Y24" i="10"/>
  <c r="F24" i="10"/>
  <c r="X24" i="10"/>
  <c r="F11" i="10"/>
  <c r="W11" i="10"/>
  <c r="AE11" i="10"/>
  <c r="AE29" i="10" s="1"/>
  <c r="F17" i="10"/>
  <c r="Z17" i="10"/>
  <c r="Y25" i="10"/>
  <c r="F25" i="10"/>
  <c r="X25" i="10"/>
  <c r="Y27" i="10"/>
  <c r="X11" i="18" s="1"/>
  <c r="X13" i="18" s="1"/>
  <c r="F27" i="10"/>
  <c r="D11" i="18" s="1"/>
  <c r="X27" i="10"/>
  <c r="W11" i="18" s="1"/>
  <c r="W13" i="18" s="1"/>
  <c r="W25" i="18" s="1"/>
  <c r="W29" i="18" s="1"/>
  <c r="Z23" i="10"/>
  <c r="AC23" i="10"/>
  <c r="AC29" i="10" s="1"/>
  <c r="AB23" i="10"/>
  <c r="X23" i="10"/>
  <c r="AE23" i="10"/>
  <c r="AA23" i="10"/>
  <c r="F23" i="10"/>
  <c r="Y23" i="10"/>
  <c r="Y29" i="10" s="1"/>
  <c r="AD23" i="10"/>
  <c r="Y26" i="10"/>
  <c r="F26" i="10"/>
  <c r="Z26" i="10"/>
  <c r="F13" i="10"/>
  <c r="U13" i="10"/>
  <c r="W8" i="10"/>
  <c r="F8" i="10"/>
  <c r="D5" i="18" s="1"/>
  <c r="Z20" i="10"/>
  <c r="AD20" i="10"/>
  <c r="AD29" i="10" s="1"/>
  <c r="F20" i="10"/>
  <c r="U16" i="10"/>
  <c r="F16" i="10"/>
  <c r="V16" i="10"/>
  <c r="AA16" i="10"/>
  <c r="AA29" i="10" s="1"/>
  <c r="Z16" i="10"/>
  <c r="Z19" i="10"/>
  <c r="AB19" i="10"/>
  <c r="AB29" i="10" s="1"/>
  <c r="F19" i="10"/>
  <c r="U7" i="10"/>
  <c r="F7" i="10"/>
  <c r="V7" i="10"/>
  <c r="Y28" i="10"/>
  <c r="AD28" i="10"/>
  <c r="X28" i="10"/>
  <c r="AE28" i="10"/>
  <c r="F28" i="10"/>
  <c r="U28" i="10"/>
  <c r="AB28" i="10"/>
  <c r="W28" i="10"/>
  <c r="AA28" i="10"/>
  <c r="V28" i="10"/>
  <c r="AC28" i="10"/>
  <c r="Z28" i="10"/>
  <c r="AE22" i="10"/>
  <c r="F22" i="10"/>
  <c r="Z5" i="10"/>
  <c r="F5" i="10"/>
  <c r="U5" i="10"/>
  <c r="F18" i="10"/>
  <c r="Z18" i="10"/>
  <c r="AA18" i="10"/>
  <c r="AC55" i="10"/>
  <c r="AE55" i="10"/>
  <c r="AB55" i="10"/>
  <c r="AA55" i="10"/>
  <c r="AD55" i="10"/>
  <c r="X55" i="10"/>
  <c r="Y55" i="10"/>
  <c r="F55" i="10"/>
  <c r="AW47" i="10"/>
  <c r="AR47" i="10" s="1"/>
  <c r="AW46" i="10"/>
  <c r="AC56" i="10"/>
  <c r="AE56" i="10"/>
  <c r="Y56" i="10"/>
  <c r="AA56" i="10"/>
  <c r="AD56" i="10"/>
  <c r="F56" i="10"/>
  <c r="AB56" i="10"/>
  <c r="X56" i="10"/>
  <c r="AA22" i="18"/>
  <c r="AR38" i="10"/>
  <c r="AS38" i="10" s="1"/>
  <c r="AS45" i="10" s="1"/>
  <c r="AB53" i="10"/>
  <c r="AB58" i="10" s="1"/>
  <c r="F53" i="10"/>
  <c r="AA49" i="10"/>
  <c r="Z17" i="18" s="1"/>
  <c r="F49" i="10"/>
  <c r="V45" i="10"/>
  <c r="U45" i="10"/>
  <c r="F45" i="10"/>
  <c r="W45" i="10"/>
  <c r="F41" i="10"/>
  <c r="U41" i="10"/>
  <c r="W41" i="10"/>
  <c r="V41" i="10"/>
  <c r="Z37" i="10"/>
  <c r="W37" i="10"/>
  <c r="F37" i="10"/>
  <c r="F33" i="10"/>
  <c r="U33" i="10"/>
  <c r="U58" i="10" s="1"/>
  <c r="F52" i="10"/>
  <c r="AE52" i="10"/>
  <c r="AE58" i="10" s="1"/>
  <c r="X48" i="10"/>
  <c r="V48" i="10"/>
  <c r="AC48" i="10"/>
  <c r="Z48" i="10"/>
  <c r="Y48" i="10"/>
  <c r="AE48" i="10"/>
  <c r="AA48" i="10"/>
  <c r="W48" i="10"/>
  <c r="U48" i="10"/>
  <c r="AB48" i="10"/>
  <c r="AD48" i="10"/>
  <c r="W44" i="10"/>
  <c r="F44" i="10"/>
  <c r="U44" i="10"/>
  <c r="V44" i="10"/>
  <c r="W40" i="10"/>
  <c r="V40" i="10"/>
  <c r="U40" i="10"/>
  <c r="F40" i="10"/>
  <c r="Z36" i="10"/>
  <c r="Y20" i="18" s="1"/>
  <c r="Y22" i="18" s="1"/>
  <c r="U36" i="10"/>
  <c r="T20" i="18" s="1"/>
  <c r="F36" i="10"/>
  <c r="D20" i="18" s="1"/>
  <c r="F57" i="10"/>
  <c r="AE57" i="10"/>
  <c r="AA57" i="10"/>
  <c r="AD57" i="10"/>
  <c r="AB57" i="10"/>
  <c r="AC57" i="10"/>
  <c r="F51" i="10"/>
  <c r="AA51" i="10"/>
  <c r="U47" i="10"/>
  <c r="F47" i="10"/>
  <c r="Z47" i="10"/>
  <c r="V47" i="10"/>
  <c r="W47" i="10"/>
  <c r="U43" i="10"/>
  <c r="W43" i="10"/>
  <c r="V43" i="10"/>
  <c r="F43" i="10"/>
  <c r="U39" i="10"/>
  <c r="W39" i="10"/>
  <c r="V39" i="10"/>
  <c r="F39" i="10"/>
  <c r="F35" i="10"/>
  <c r="W35" i="10"/>
  <c r="W58" i="10" s="1"/>
  <c r="U35" i="10"/>
  <c r="V35" i="10"/>
  <c r="V58" i="10" s="1"/>
  <c r="F54" i="10"/>
  <c r="AB54" i="10"/>
  <c r="AA54" i="10"/>
  <c r="AC54" i="10"/>
  <c r="AC58" i="10" s="1"/>
  <c r="AE54" i="10"/>
  <c r="AD54" i="10"/>
  <c r="AD58" i="10" s="1"/>
  <c r="Y54" i="10"/>
  <c r="Y58" i="10" s="1"/>
  <c r="X54" i="10"/>
  <c r="X58" i="10" s="1"/>
  <c r="F50" i="10"/>
  <c r="AA50" i="10"/>
  <c r="V46" i="10"/>
  <c r="Z46" i="10"/>
  <c r="W46" i="10"/>
  <c r="F46" i="10"/>
  <c r="U46" i="10"/>
  <c r="V42" i="10"/>
  <c r="F42" i="10"/>
  <c r="U42" i="10"/>
  <c r="W42" i="10"/>
  <c r="V38" i="10"/>
  <c r="U16" i="18" s="1"/>
  <c r="U22" i="18" s="1"/>
  <c r="F38" i="10"/>
  <c r="D16" i="18" s="1"/>
  <c r="U38" i="10"/>
  <c r="T16" i="18" s="1"/>
  <c r="U34" i="10"/>
  <c r="T17" i="18" s="1"/>
  <c r="F34" i="10"/>
  <c r="AT46" i="10" l="1"/>
  <c r="AW19" i="10"/>
  <c r="AY19" i="10" s="1"/>
  <c r="AW10" i="10"/>
  <c r="AW9" i="10"/>
  <c r="C21" i="20"/>
  <c r="AW18" i="10"/>
  <c r="AX18" i="10" s="1"/>
  <c r="AR5" i="10"/>
  <c r="AT9" i="10"/>
  <c r="AT10" i="10" s="1"/>
  <c r="AS44" i="10"/>
  <c r="AW20" i="10"/>
  <c r="BA20" i="10" s="1"/>
  <c r="AS39" i="10"/>
  <c r="AT45" i="10"/>
  <c r="AX16" i="10"/>
  <c r="D17" i="18"/>
  <c r="AD25" i="18"/>
  <c r="AD29" i="18" s="1"/>
  <c r="X25" i="18"/>
  <c r="X29" i="18" s="1"/>
  <c r="U4" i="18"/>
  <c r="U13" i="18" s="1"/>
  <c r="U25" i="18" s="1"/>
  <c r="U29" i="18" s="1"/>
  <c r="D4" i="18"/>
  <c r="T4" i="18"/>
  <c r="AC25" i="18"/>
  <c r="AC29" i="18" s="1"/>
  <c r="AB25" i="18"/>
  <c r="AB29" i="18" s="1"/>
  <c r="AW14" i="10"/>
  <c r="AA25" i="18"/>
  <c r="AA29" i="18" s="1"/>
  <c r="V29" i="10"/>
  <c r="Z29" i="10"/>
  <c r="Y6" i="18"/>
  <c r="Y13" i="18" s="1"/>
  <c r="Y25" i="18" s="1"/>
  <c r="Y29" i="18" s="1"/>
  <c r="U29" i="10"/>
  <c r="T6" i="18"/>
  <c r="D6" i="18"/>
  <c r="F29" i="10"/>
  <c r="W29" i="10"/>
  <c r="V5" i="18"/>
  <c r="V13" i="18" s="1"/>
  <c r="V25" i="18" s="1"/>
  <c r="V29" i="18" s="1"/>
  <c r="T22" i="18"/>
  <c r="F58" i="10"/>
  <c r="D18" i="18"/>
  <c r="Z18" i="18"/>
  <c r="Z22" i="18" s="1"/>
  <c r="Z25" i="18" s="1"/>
  <c r="Z29" i="18" s="1"/>
  <c r="AA58" i="10"/>
  <c r="AU10" i="10" l="1"/>
  <c r="D22" i="18"/>
  <c r="D13" i="18"/>
  <c r="T13" i="18"/>
  <c r="T25" i="18" s="1"/>
  <c r="T29" i="18" s="1"/>
  <c r="S24" i="18" l="1"/>
</calcChain>
</file>

<file path=xl/sharedStrings.xml><?xml version="1.0" encoding="utf-8"?>
<sst xmlns="http://schemas.openxmlformats.org/spreadsheetml/2006/main" count="1362" uniqueCount="205">
  <si>
    <t>Urea</t>
  </si>
  <si>
    <t>DAP</t>
  </si>
  <si>
    <t>Potash</t>
  </si>
  <si>
    <t>Monoammonium Phosphate</t>
  </si>
  <si>
    <t>Diammonium Phosphate</t>
  </si>
  <si>
    <t>Potassium Chloride</t>
  </si>
  <si>
    <t>3-18-18</t>
  </si>
  <si>
    <t>9-18-9</t>
  </si>
  <si>
    <t>7-21-7</t>
  </si>
  <si>
    <t>4-10-10</t>
  </si>
  <si>
    <t>6-24-6</t>
  </si>
  <si>
    <t>Pounds per Gallon</t>
  </si>
  <si>
    <t>Units of N / Gal</t>
  </si>
  <si>
    <t>Units of P / Gal</t>
  </si>
  <si>
    <t>Units of K / Gal</t>
  </si>
  <si>
    <t>Liquid Fertilizer</t>
  </si>
  <si>
    <t>Anhydrous Ammonia</t>
  </si>
  <si>
    <t>NH3</t>
  </si>
  <si>
    <t>N</t>
  </si>
  <si>
    <t>P</t>
  </si>
  <si>
    <t>K</t>
  </si>
  <si>
    <t>Progerm</t>
  </si>
  <si>
    <t>Sure-K</t>
  </si>
  <si>
    <t>High NRG-N</t>
  </si>
  <si>
    <t>AMS</t>
  </si>
  <si>
    <t>Ammonium Sulfate</t>
  </si>
  <si>
    <t>KTS</t>
  </si>
  <si>
    <t>Potassium Thiosulfate</t>
  </si>
  <si>
    <t>Nitrogen</t>
  </si>
  <si>
    <t>Potassium</t>
  </si>
  <si>
    <t>Sulfur</t>
  </si>
  <si>
    <t>Ca</t>
  </si>
  <si>
    <t>Mg</t>
  </si>
  <si>
    <t>S</t>
  </si>
  <si>
    <t>Fe</t>
  </si>
  <si>
    <t>Mn</t>
  </si>
  <si>
    <t>Zn</t>
  </si>
  <si>
    <t>Cu</t>
  </si>
  <si>
    <t>B</t>
  </si>
  <si>
    <t>CaCO3</t>
  </si>
  <si>
    <t>?</t>
  </si>
  <si>
    <t>ATS</t>
  </si>
  <si>
    <t>Ammonium Thiosulfate</t>
  </si>
  <si>
    <t>Zinc 15%</t>
  </si>
  <si>
    <t>Total Fertility</t>
  </si>
  <si>
    <t>OM %</t>
  </si>
  <si>
    <t>Total Applied</t>
  </si>
  <si>
    <t>Total Micro Cost</t>
  </si>
  <si>
    <t>Micro 500</t>
  </si>
  <si>
    <t>TJ MM Wheat</t>
  </si>
  <si>
    <t>TJ MM Soybean</t>
  </si>
  <si>
    <t>TJ MM Corn</t>
  </si>
  <si>
    <t>Manganese 5%</t>
  </si>
  <si>
    <t>Boron 10%</t>
  </si>
  <si>
    <t>Cost Per Acre</t>
  </si>
  <si>
    <t>Kalibrate</t>
  </si>
  <si>
    <t>APP 10-34-0</t>
  </si>
  <si>
    <t>Ammonium Polyphosphate</t>
  </si>
  <si>
    <t>UAN</t>
  </si>
  <si>
    <t>Weight Per Gallon</t>
  </si>
  <si>
    <t>Units of S / Gal</t>
  </si>
  <si>
    <t>Gallons  / acre</t>
  </si>
  <si>
    <t>Total Dry Cost</t>
  </si>
  <si>
    <t>Calcite Lime</t>
  </si>
  <si>
    <t>Dolomite Lime</t>
  </si>
  <si>
    <t>CaCO3 + MgCO3</t>
  </si>
  <si>
    <t>SuperCal Gypsum (SO4)</t>
  </si>
  <si>
    <t>Pelletized Gypsum</t>
  </si>
  <si>
    <t>61 lbs/ft(3)</t>
  </si>
  <si>
    <t>SuperCal 98G</t>
  </si>
  <si>
    <t>Pelletized Limestone</t>
  </si>
  <si>
    <t>Zinc Sulfate</t>
  </si>
  <si>
    <t>100-105 lbs/ft(3)</t>
  </si>
  <si>
    <t>Copper Sulfate</t>
  </si>
  <si>
    <t>57-60 lbs/ft(3)</t>
  </si>
  <si>
    <t>TJ MicroMix</t>
  </si>
  <si>
    <t>56-60 lbs/ft(3)</t>
  </si>
  <si>
    <t>Mosaic Mix</t>
  </si>
  <si>
    <t>59 lbs/ft(3)</t>
  </si>
  <si>
    <t>MicroEssentials S15</t>
  </si>
  <si>
    <t>57 lbs/ft(3)</t>
  </si>
  <si>
    <t>MicroEssentials S10</t>
  </si>
  <si>
    <t>Pegasus</t>
  </si>
  <si>
    <t>66 lbs/ft(3)</t>
  </si>
  <si>
    <t>Aspire</t>
  </si>
  <si>
    <t>64 lbs/ft(3)</t>
  </si>
  <si>
    <t>Kmag</t>
  </si>
  <si>
    <t>Potassium Magnesium Sulfate</t>
  </si>
  <si>
    <t>90-98 lbs/ft(3)</t>
  </si>
  <si>
    <t>Potassium Sulfate</t>
  </si>
  <si>
    <t>78-82 lbs/ft(3)</t>
  </si>
  <si>
    <t>58-65 lbs/ft(3)</t>
  </si>
  <si>
    <t>55-60 lbs/ft(3)</t>
  </si>
  <si>
    <t>60-65 lbs/ft(3)</t>
  </si>
  <si>
    <t>47-53 lbs/ft(3)</t>
  </si>
  <si>
    <t>44-48 lbs/ft(3)</t>
  </si>
  <si>
    <t>Dry Fertilizer</t>
  </si>
  <si>
    <t>Density</t>
  </si>
  <si>
    <t>Pounds / Acre</t>
  </si>
  <si>
    <t>Password - 1989</t>
  </si>
  <si>
    <t>N= Urea Price</t>
  </si>
  <si>
    <t>S= AMS Price</t>
  </si>
  <si>
    <t>K + S = Potassium Sulfate Price</t>
  </si>
  <si>
    <t>K= Potash Price</t>
  </si>
  <si>
    <t>Ca= Calcite Lime Price</t>
  </si>
  <si>
    <t>Corn</t>
  </si>
  <si>
    <t>Yield Goal Nurient Removal</t>
  </si>
  <si>
    <t>Yield Goal</t>
  </si>
  <si>
    <t>Grain Removal</t>
  </si>
  <si>
    <t>Stover</t>
  </si>
  <si>
    <t>Total</t>
  </si>
  <si>
    <t>Soybeans</t>
  </si>
  <si>
    <t>Soybean</t>
  </si>
  <si>
    <t>N= 28% Price K= Potash Price</t>
  </si>
  <si>
    <t>N= 28% Price</t>
  </si>
  <si>
    <t xml:space="preserve">N= 28% Price K= Potash </t>
  </si>
  <si>
    <t>N= 28% Price P= 10-34-0</t>
  </si>
  <si>
    <t>Other Dry</t>
  </si>
  <si>
    <t>Other Liquid</t>
  </si>
  <si>
    <t>N= Urea Price P=Map Price</t>
  </si>
  <si>
    <t>N= Urea Price P=Map Price S=AMS Price</t>
  </si>
  <si>
    <t>Wheat</t>
  </si>
  <si>
    <t>Solubor - Boron</t>
  </si>
  <si>
    <t>Manganese Sulfate</t>
  </si>
  <si>
    <t>Boron 21%</t>
  </si>
  <si>
    <t>Elemental Sulfur</t>
  </si>
  <si>
    <t>ESN</t>
  </si>
  <si>
    <t>Zinc 10%</t>
  </si>
  <si>
    <t>MicroEssentials SZ (MESZ)</t>
  </si>
  <si>
    <t>-</t>
  </si>
  <si>
    <t>MAP  (6% S)Unlabled</t>
  </si>
  <si>
    <t>Total $/Acre</t>
  </si>
  <si>
    <t>*Micros Rate is in Qts.</t>
  </si>
  <si>
    <t>Soil Nitrate Test</t>
  </si>
  <si>
    <t># / Ac</t>
  </si>
  <si>
    <t>Gal / Ac</t>
  </si>
  <si>
    <t>Cost / Ton</t>
  </si>
  <si>
    <t>Based on 0"-6" sample</t>
  </si>
  <si>
    <t>Phosphorus</t>
  </si>
  <si>
    <t>Magnesium</t>
  </si>
  <si>
    <t>Calcium</t>
  </si>
  <si>
    <t>Sodium</t>
  </si>
  <si>
    <t>Zinc</t>
  </si>
  <si>
    <t>Manganese</t>
  </si>
  <si>
    <t>Iron</t>
  </si>
  <si>
    <t>Copper</t>
  </si>
  <si>
    <t>Boron</t>
  </si>
  <si>
    <t>Base Saturation %</t>
  </si>
  <si>
    <t>K %</t>
  </si>
  <si>
    <t>(N) ppm</t>
  </si>
  <si>
    <t>(P 1) ppm</t>
  </si>
  <si>
    <t>(P 2) ppm</t>
  </si>
  <si>
    <t>(Olsen P) ppm</t>
  </si>
  <si>
    <t>(K) ppm</t>
  </si>
  <si>
    <t>(Mg) ppm</t>
  </si>
  <si>
    <t>(Ca) ppm</t>
  </si>
  <si>
    <t>(Na) ppm</t>
  </si>
  <si>
    <t>(S) ppm</t>
  </si>
  <si>
    <t>(Zn) ppm</t>
  </si>
  <si>
    <t>(Mn) ppm</t>
  </si>
  <si>
    <t>(Fe) ppm</t>
  </si>
  <si>
    <t>(Cu) ppm</t>
  </si>
  <si>
    <t>(B) ppm</t>
  </si>
  <si>
    <t>Mg %</t>
  </si>
  <si>
    <t>Ca %</t>
  </si>
  <si>
    <t>H %</t>
  </si>
  <si>
    <t>Total lbs in soil</t>
  </si>
  <si>
    <t>Na %</t>
  </si>
  <si>
    <t>P2O5</t>
  </si>
  <si>
    <t>K20</t>
  </si>
  <si>
    <t>Phosphorus % that’s unavailible</t>
  </si>
  <si>
    <t>Low End</t>
  </si>
  <si>
    <t>25 ppm P1</t>
  </si>
  <si>
    <t>4% Base Sat</t>
  </si>
  <si>
    <t>20 ppm</t>
  </si>
  <si>
    <t>1.8 ppm</t>
  </si>
  <si>
    <t>1.4 ppm</t>
  </si>
  <si>
    <t>1.2 ppm</t>
  </si>
  <si>
    <t>CEC Level</t>
  </si>
  <si>
    <t>Rec's</t>
  </si>
  <si>
    <t>Can it hold all N?</t>
  </si>
  <si>
    <t>Holding N capacity</t>
  </si>
  <si>
    <t>MAP</t>
  </si>
  <si>
    <t>pH</t>
  </si>
  <si>
    <t>Possible Tie-Up</t>
  </si>
  <si>
    <t>Phosphorus on Soil Test</t>
  </si>
  <si>
    <t xml:space="preserve"> pH &amp; Percent of yield given up</t>
  </si>
  <si>
    <t>pH 7.5</t>
  </si>
  <si>
    <t>pH 6.8</t>
  </si>
  <si>
    <t>pH 5.7</t>
  </si>
  <si>
    <t>pH 5.0</t>
  </si>
  <si>
    <t>pH 4.7</t>
  </si>
  <si>
    <t>50 ppm P1</t>
  </si>
  <si>
    <t>7% Base Sat</t>
  </si>
  <si>
    <t>80 ppm</t>
  </si>
  <si>
    <t>3.5 ppm</t>
  </si>
  <si>
    <t>40 ppm</t>
  </si>
  <si>
    <t>2.0 ppm</t>
  </si>
  <si>
    <t>3.0 ppm</t>
  </si>
  <si>
    <t>High End</t>
  </si>
  <si>
    <t>Ca/Mg</t>
  </si>
  <si>
    <t>S= ATS Price</t>
  </si>
  <si>
    <t>Boron 15%</t>
  </si>
  <si>
    <t>Solubor - Boron 21%</t>
  </si>
  <si>
    <t>Zinc 4% Chelated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</si>
</sst>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164" formatCode="0.0"/>
    <numFmt numFmtId="165" formatCode="&quot;$&quot;#,##0.00"/>
    <numFmt numFmtId="166" formatCode="0.000"/>
    <numFmt numFmtId="167" formatCode="&quot;$&quot;#,##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4FFF9F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84">
    <xf numFmtId="0" fontId="0" fillId="0" borderId="0" xfId="0"/>
    <xf numFmtId="0" fontId="0" fillId="0" borderId="1" xfId="0" applyBorder="1"/>
    <xf numFmtId="9" fontId="0" fillId="0" borderId="1" xfId="0" applyNumberFormat="1" applyBorder="1"/>
    <xf numFmtId="0" fontId="0" fillId="0" borderId="0" xfId="0" applyBorder="1"/>
    <xf numFmtId="164" fontId="0" fillId="0" borderId="1" xfId="0" applyNumberFormat="1" applyBorder="1"/>
    <xf numFmtId="2" fontId="0" fillId="0" borderId="0" xfId="0" applyNumberFormat="1"/>
    <xf numFmtId="0" fontId="0" fillId="2" borderId="1" xfId="0" applyFill="1" applyBorder="1" applyProtection="1">
      <protection locked="0"/>
    </xf>
    <xf numFmtId="0" fontId="0" fillId="3" borderId="1" xfId="0" applyFill="1" applyBorder="1" applyProtection="1"/>
    <xf numFmtId="0" fontId="0" fillId="3" borderId="5" xfId="0" applyFill="1" applyBorder="1" applyAlignment="1" applyProtection="1"/>
    <xf numFmtId="1" fontId="0" fillId="3" borderId="1" xfId="0" applyNumberFormat="1" applyFill="1" applyBorder="1" applyProtection="1"/>
    <xf numFmtId="165" fontId="0" fillId="0" borderId="1" xfId="0" applyNumberFormat="1" applyBorder="1"/>
    <xf numFmtId="165" fontId="2" fillId="0" borderId="0" xfId="0" applyNumberFormat="1" applyFont="1"/>
    <xf numFmtId="166" fontId="0" fillId="0" borderId="1" xfId="0" applyNumberFormat="1" applyBorder="1"/>
    <xf numFmtId="0" fontId="0" fillId="5" borderId="1" xfId="0" applyFill="1" applyBorder="1"/>
    <xf numFmtId="165" fontId="0" fillId="6" borderId="1" xfId="0" applyNumberFormat="1" applyFill="1" applyBorder="1" applyProtection="1"/>
    <xf numFmtId="166" fontId="0" fillId="0" borderId="1" xfId="0" applyNumberFormat="1" applyBorder="1" applyProtection="1"/>
    <xf numFmtId="0" fontId="0" fillId="0" borderId="0" xfId="0" applyAlignment="1">
      <alignment horizontal="right"/>
    </xf>
    <xf numFmtId="165" fontId="0" fillId="0" borderId="1" xfId="0" applyNumberFormat="1" applyBorder="1" applyProtection="1"/>
    <xf numFmtId="0" fontId="0" fillId="0" borderId="1" xfId="0" applyBorder="1" applyProtection="1"/>
    <xf numFmtId="0" fontId="0" fillId="3" borderId="3" xfId="0" applyFill="1" applyBorder="1" applyProtection="1"/>
    <xf numFmtId="0" fontId="0" fillId="3" borderId="1" xfId="0" applyFill="1" applyBorder="1" applyAlignment="1" applyProtection="1">
      <alignment horizontal="center"/>
    </xf>
    <xf numFmtId="0" fontId="0" fillId="0" borderId="0" xfId="0" applyFill="1" applyBorder="1" applyProtection="1"/>
    <xf numFmtId="0" fontId="0" fillId="0" borderId="0" xfId="0" applyProtection="1"/>
    <xf numFmtId="0" fontId="0" fillId="0" borderId="0" xfId="0" applyProtection="1">
      <protection locked="0"/>
    </xf>
    <xf numFmtId="166" fontId="0" fillId="0" borderId="1" xfId="0" applyNumberFormat="1" applyFill="1" applyBorder="1" applyProtection="1"/>
    <xf numFmtId="0" fontId="0" fillId="0" borderId="1" xfId="0" applyFill="1" applyBorder="1" applyProtection="1"/>
    <xf numFmtId="9" fontId="0" fillId="5" borderId="1" xfId="0" applyNumberFormat="1" applyFill="1" applyBorder="1" applyProtection="1"/>
    <xf numFmtId="164" fontId="0" fillId="2" borderId="1" xfId="0" applyNumberFormat="1" applyFill="1" applyBorder="1" applyProtection="1">
      <protection locked="0"/>
    </xf>
    <xf numFmtId="0" fontId="0" fillId="0" borderId="1" xfId="0" applyFill="1" applyBorder="1" applyAlignment="1" applyProtection="1">
      <alignment horizontal="left"/>
    </xf>
    <xf numFmtId="2" fontId="0" fillId="0" borderId="1" xfId="0" applyNumberFormat="1" applyBorder="1" applyProtection="1"/>
    <xf numFmtId="9" fontId="0" fillId="0" borderId="1" xfId="0" applyNumberFormat="1" applyBorder="1" applyProtection="1"/>
    <xf numFmtId="165" fontId="0" fillId="0" borderId="1" xfId="0" applyNumberFormat="1" applyBorder="1" applyAlignment="1" applyProtection="1">
      <alignment wrapText="1"/>
    </xf>
    <xf numFmtId="0" fontId="0" fillId="3" borderId="1" xfId="0" applyFill="1" applyBorder="1" applyAlignment="1" applyProtection="1">
      <alignment wrapText="1"/>
    </xf>
    <xf numFmtId="0" fontId="0" fillId="0" borderId="1" xfId="0" applyBorder="1" applyAlignment="1" applyProtection="1">
      <alignment horizontal="left"/>
    </xf>
    <xf numFmtId="49" fontId="0" fillId="3" borderId="1" xfId="0" applyNumberFormat="1" applyFill="1" applyBorder="1" applyProtection="1"/>
    <xf numFmtId="9" fontId="0" fillId="3" borderId="1" xfId="0" applyNumberFormat="1" applyFill="1" applyBorder="1" applyProtection="1"/>
    <xf numFmtId="0" fontId="0" fillId="6" borderId="1" xfId="0" applyFill="1" applyBorder="1" applyProtection="1"/>
    <xf numFmtId="0" fontId="0" fillId="6" borderId="1" xfId="0" applyFill="1" applyBorder="1"/>
    <xf numFmtId="9" fontId="0" fillId="6" borderId="1" xfId="0" applyNumberFormat="1" applyFill="1" applyBorder="1" applyProtection="1"/>
    <xf numFmtId="166" fontId="0" fillId="0" borderId="9" xfId="0" applyNumberFormat="1" applyBorder="1" applyProtection="1"/>
    <xf numFmtId="0" fontId="0" fillId="3" borderId="1" xfId="0" applyFill="1" applyBorder="1" applyAlignment="1" applyProtection="1"/>
    <xf numFmtId="0" fontId="0" fillId="0" borderId="0" xfId="0" applyBorder="1" applyAlignment="1" applyProtection="1"/>
    <xf numFmtId="0" fontId="0" fillId="0" borderId="2" xfId="0" applyBorder="1" applyAlignment="1" applyProtection="1"/>
    <xf numFmtId="10" fontId="0" fillId="6" borderId="1" xfId="2" applyNumberFormat="1" applyFont="1" applyFill="1" applyBorder="1" applyProtection="1"/>
    <xf numFmtId="165" fontId="1" fillId="0" borderId="1" xfId="1" applyNumberFormat="1" applyFont="1" applyFill="1" applyBorder="1" applyProtection="1"/>
    <xf numFmtId="0" fontId="0" fillId="3" borderId="1" xfId="0" applyFill="1" applyBorder="1" applyAlignment="1" applyProtection="1">
      <alignment horizontal="left"/>
    </xf>
    <xf numFmtId="10" fontId="0" fillId="5" borderId="1" xfId="2" applyNumberFormat="1" applyFont="1" applyFill="1" applyBorder="1" applyProtection="1"/>
    <xf numFmtId="165" fontId="0" fillId="0" borderId="1" xfId="1" applyNumberFormat="1" applyFont="1" applyBorder="1" applyProtection="1"/>
    <xf numFmtId="165" fontId="1" fillId="3" borderId="5" xfId="1" applyNumberFormat="1" applyFont="1" applyFill="1" applyBorder="1" applyProtection="1"/>
    <xf numFmtId="0" fontId="0" fillId="3" borderId="1" xfId="0" applyFill="1" applyBorder="1" applyAlignment="1" applyProtection="1">
      <alignment horizontal="center"/>
      <protection locked="0"/>
    </xf>
    <xf numFmtId="164" fontId="0" fillId="6" borderId="1" xfId="0" applyNumberFormat="1" applyFont="1" applyFill="1" applyBorder="1" applyProtection="1"/>
    <xf numFmtId="164" fontId="0" fillId="5" borderId="1" xfId="0" applyNumberFormat="1" applyFont="1" applyFill="1" applyBorder="1" applyProtection="1"/>
    <xf numFmtId="165" fontId="0" fillId="5" borderId="1" xfId="0" applyNumberFormat="1" applyFill="1" applyBorder="1"/>
    <xf numFmtId="164" fontId="0" fillId="0" borderId="0" xfId="0" applyNumberFormat="1"/>
    <xf numFmtId="164" fontId="0" fillId="5" borderId="1" xfId="0" applyNumberFormat="1" applyFill="1" applyBorder="1" applyProtection="1"/>
    <xf numFmtId="164" fontId="0" fillId="6" borderId="1" xfId="0" applyNumberFormat="1" applyFill="1" applyBorder="1" applyProtection="1"/>
    <xf numFmtId="164" fontId="0" fillId="0" borderId="1" xfId="0" applyNumberFormat="1" applyBorder="1" applyProtection="1"/>
    <xf numFmtId="164" fontId="0" fillId="0" borderId="1" xfId="0" applyNumberFormat="1" applyFill="1" applyBorder="1" applyProtection="1"/>
    <xf numFmtId="2" fontId="0" fillId="0" borderId="1" xfId="0" applyNumberFormat="1" applyFill="1" applyBorder="1" applyProtection="1"/>
    <xf numFmtId="0" fontId="0" fillId="0" borderId="0" xfId="0" applyBorder="1" applyProtection="1"/>
    <xf numFmtId="2" fontId="0" fillId="0" borderId="0" xfId="0" applyNumberFormat="1" applyBorder="1" applyProtection="1"/>
    <xf numFmtId="0" fontId="0" fillId="0" borderId="7" xfId="0" applyBorder="1" applyProtection="1"/>
    <xf numFmtId="0" fontId="0" fillId="0" borderId="0" xfId="0" applyBorder="1" applyAlignment="1" applyProtection="1">
      <alignment horizontal="left"/>
    </xf>
    <xf numFmtId="0" fontId="0" fillId="0" borderId="0" xfId="0" applyFill="1" applyBorder="1" applyAlignment="1" applyProtection="1">
      <alignment horizontal="left"/>
    </xf>
    <xf numFmtId="10" fontId="0" fillId="2" borderId="1" xfId="2" applyNumberFormat="1" applyFont="1" applyFill="1" applyBorder="1" applyProtection="1">
      <protection locked="0"/>
    </xf>
    <xf numFmtId="165" fontId="0" fillId="0" borderId="0" xfId="0" applyNumberFormat="1"/>
    <xf numFmtId="0" fontId="0" fillId="3" borderId="4" xfId="0" applyFill="1" applyBorder="1" applyAlignment="1" applyProtection="1">
      <alignment horizontal="left"/>
    </xf>
    <xf numFmtId="165" fontId="0" fillId="0" borderId="4" xfId="1" applyNumberFormat="1" applyFont="1" applyFill="1" applyBorder="1" applyProtection="1"/>
    <xf numFmtId="0" fontId="0" fillId="3" borderId="1" xfId="0" applyFill="1" applyBorder="1" applyAlignment="1" applyProtection="1">
      <alignment horizontal="right"/>
      <protection locked="0"/>
    </xf>
    <xf numFmtId="165" fontId="0" fillId="2" borderId="1" xfId="1" applyNumberFormat="1" applyFont="1" applyFill="1" applyBorder="1" applyAlignment="1" applyProtection="1">
      <alignment horizontal="right"/>
      <protection locked="0"/>
    </xf>
    <xf numFmtId="165" fontId="0" fillId="2" borderId="1" xfId="0" applyNumberFormat="1" applyFill="1" applyBorder="1" applyAlignment="1" applyProtection="1">
      <alignment horizontal="right"/>
      <protection locked="0"/>
    </xf>
    <xf numFmtId="165" fontId="0" fillId="2" borderId="4" xfId="0" applyNumberFormat="1" applyFill="1" applyBorder="1" applyAlignment="1" applyProtection="1">
      <alignment horizontal="right"/>
      <protection locked="0"/>
    </xf>
    <xf numFmtId="167" fontId="0" fillId="2" borderId="1" xfId="0" applyNumberFormat="1" applyFill="1" applyBorder="1" applyAlignment="1" applyProtection="1">
      <alignment horizontal="right"/>
      <protection locked="0"/>
    </xf>
    <xf numFmtId="0" fontId="0" fillId="0" borderId="2" xfId="0" applyBorder="1" applyAlignment="1" applyProtection="1">
      <alignment horizontal="right"/>
      <protection locked="0"/>
    </xf>
    <xf numFmtId="165" fontId="0" fillId="2" borderId="1" xfId="0" applyNumberFormat="1" applyFill="1" applyBorder="1" applyAlignment="1" applyProtection="1">
      <alignment horizontal="right" wrapText="1"/>
      <protection locked="0"/>
    </xf>
    <xf numFmtId="0" fontId="0" fillId="3" borderId="1" xfId="0" applyFill="1" applyBorder="1" applyAlignment="1" applyProtection="1">
      <alignment horizontal="right"/>
    </xf>
    <xf numFmtId="2" fontId="0" fillId="8" borderId="1" xfId="0" applyNumberFormat="1" applyFill="1" applyBorder="1"/>
    <xf numFmtId="0" fontId="0" fillId="6" borderId="4" xfId="0" applyFill="1" applyBorder="1" applyProtection="1"/>
    <xf numFmtId="0" fontId="0" fillId="3" borderId="1" xfId="0" applyFill="1" applyBorder="1" applyAlignment="1" applyProtection="1">
      <alignment horizontal="center" wrapText="1"/>
    </xf>
    <xf numFmtId="0" fontId="0" fillId="6" borderId="1" xfId="0" applyFill="1" applyBorder="1" applyAlignment="1" applyProtection="1">
      <alignment horizontal="center"/>
      <protection locked="0"/>
    </xf>
    <xf numFmtId="0" fontId="0" fillId="6" borderId="1" xfId="0" applyFill="1" applyBorder="1" applyAlignment="1" applyProtection="1">
      <alignment horizontal="right"/>
      <protection locked="0"/>
    </xf>
    <xf numFmtId="0" fontId="0" fillId="6" borderId="1" xfId="0" applyFill="1" applyBorder="1" applyAlignment="1" applyProtection="1">
      <alignment horizontal="center" wrapText="1"/>
      <protection locked="0"/>
    </xf>
    <xf numFmtId="1" fontId="0" fillId="6" borderId="1" xfId="0" applyNumberFormat="1" applyFill="1" applyBorder="1" applyProtection="1"/>
    <xf numFmtId="0" fontId="0" fillId="6" borderId="5" xfId="0" applyFill="1" applyBorder="1" applyAlignment="1" applyProtection="1"/>
    <xf numFmtId="165" fontId="0" fillId="6" borderId="5" xfId="1" applyNumberFormat="1" applyFont="1" applyFill="1" applyBorder="1" applyProtection="1"/>
    <xf numFmtId="9" fontId="0" fillId="3" borderId="1" xfId="0" applyNumberFormat="1" applyFill="1" applyBorder="1" applyAlignment="1" applyProtection="1">
      <alignment horizontal="left"/>
    </xf>
    <xf numFmtId="0" fontId="0" fillId="3" borderId="9" xfId="0" applyFill="1" applyBorder="1" applyAlignment="1" applyProtection="1">
      <alignment horizontal="center" wrapText="1"/>
    </xf>
    <xf numFmtId="0" fontId="0" fillId="6" borderId="5" xfId="0" applyFill="1" applyBorder="1" applyAlignment="1" applyProtection="1">
      <alignment horizontal="center"/>
      <protection locked="0"/>
    </xf>
    <xf numFmtId="0" fontId="0" fillId="6" borderId="6" xfId="0" applyFill="1" applyBorder="1" applyAlignment="1" applyProtection="1">
      <alignment horizontal="center"/>
      <protection locked="0"/>
    </xf>
    <xf numFmtId="0" fontId="0" fillId="6" borderId="1" xfId="0" applyFill="1" applyBorder="1" applyAlignment="1" applyProtection="1"/>
    <xf numFmtId="0" fontId="0" fillId="6" borderId="0" xfId="0" applyFill="1"/>
    <xf numFmtId="0" fontId="0" fillId="3" borderId="3" xfId="0" applyFill="1" applyBorder="1" applyAlignment="1" applyProtection="1"/>
    <xf numFmtId="1" fontId="0" fillId="3" borderId="3" xfId="0" applyNumberFormat="1" applyFill="1" applyBorder="1" applyProtection="1"/>
    <xf numFmtId="0" fontId="0" fillId="3" borderId="10" xfId="0" applyFill="1" applyBorder="1" applyAlignment="1" applyProtection="1"/>
    <xf numFmtId="9" fontId="0" fillId="0" borderId="0" xfId="0" applyNumberFormat="1" applyBorder="1"/>
    <xf numFmtId="2" fontId="0" fillId="0" borderId="0" xfId="0" applyNumberFormat="1" applyFill="1" applyBorder="1" applyProtection="1"/>
    <xf numFmtId="0" fontId="0" fillId="0" borderId="0" xfId="0" applyFill="1" applyBorder="1" applyAlignment="1"/>
    <xf numFmtId="0" fontId="0" fillId="0" borderId="0" xfId="0" applyFill="1" applyBorder="1" applyAlignment="1">
      <alignment vertical="top"/>
    </xf>
    <xf numFmtId="0" fontId="0" fillId="4" borderId="0" xfId="0" applyFill="1" applyBorder="1" applyAlignment="1"/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horizontal="right"/>
    </xf>
    <xf numFmtId="0" fontId="0" fillId="4" borderId="1" xfId="0" applyFill="1" applyBorder="1" applyAlignment="1">
      <alignment vertical="top"/>
    </xf>
    <xf numFmtId="165" fontId="0" fillId="2" borderId="1" xfId="0" applyNumberFormat="1" applyFill="1" applyBorder="1" applyProtection="1">
      <protection locked="0"/>
    </xf>
    <xf numFmtId="1" fontId="0" fillId="0" borderId="0" xfId="0" applyNumberFormat="1"/>
    <xf numFmtId="1" fontId="1" fillId="3" borderId="5" xfId="1" applyNumberFormat="1" applyFont="1" applyFill="1" applyBorder="1" applyProtection="1"/>
    <xf numFmtId="1" fontId="0" fillId="6" borderId="5" xfId="1" applyNumberFormat="1" applyFont="1" applyFill="1" applyBorder="1" applyProtection="1"/>
    <xf numFmtId="1" fontId="0" fillId="0" borderId="1" xfId="1" applyNumberFormat="1" applyFont="1" applyBorder="1" applyProtection="1"/>
    <xf numFmtId="1" fontId="2" fillId="0" borderId="0" xfId="0" applyNumberFormat="1" applyFont="1"/>
    <xf numFmtId="1" fontId="0" fillId="0" borderId="0" xfId="0" applyNumberFormat="1" applyProtection="1"/>
    <xf numFmtId="1" fontId="0" fillId="3" borderId="1" xfId="0" applyNumberFormat="1" applyFill="1" applyBorder="1" applyAlignment="1" applyProtection="1"/>
    <xf numFmtId="1" fontId="0" fillId="6" borderId="1" xfId="0" applyNumberFormat="1" applyFill="1" applyBorder="1" applyAlignment="1" applyProtection="1"/>
    <xf numFmtId="1" fontId="0" fillId="5" borderId="1" xfId="0" applyNumberFormat="1" applyFill="1" applyBorder="1" applyProtection="1">
      <protection locked="0"/>
    </xf>
    <xf numFmtId="165" fontId="0" fillId="0" borderId="0" xfId="0" applyNumberFormat="1" applyProtection="1"/>
    <xf numFmtId="0" fontId="0" fillId="0" borderId="2" xfId="0" applyBorder="1" applyAlignment="1" applyProtection="1">
      <alignment horizontal="right"/>
    </xf>
    <xf numFmtId="9" fontId="0" fillId="0" borderId="0" xfId="0" applyNumberFormat="1" applyProtection="1"/>
    <xf numFmtId="0" fontId="0" fillId="0" borderId="1" xfId="0" applyBorder="1" applyProtection="1">
      <protection locked="0"/>
    </xf>
    <xf numFmtId="9" fontId="0" fillId="0" borderId="1" xfId="0" applyNumberFormat="1" applyBorder="1" applyAlignment="1" applyProtection="1">
      <alignment horizontal="left"/>
      <protection locked="0"/>
    </xf>
    <xf numFmtId="9" fontId="0" fillId="0" borderId="1" xfId="0" applyNumberFormat="1" applyBorder="1" applyProtection="1">
      <protection locked="0"/>
    </xf>
    <xf numFmtId="0" fontId="0" fillId="6" borderId="0" xfId="0" applyFill="1" applyBorder="1" applyAlignment="1" applyProtection="1">
      <alignment horizontal="center" vertical="center" textRotation="90" wrapText="1"/>
    </xf>
    <xf numFmtId="165" fontId="0" fillId="3" borderId="5" xfId="1" applyNumberFormat="1" applyFont="1" applyFill="1" applyBorder="1" applyProtection="1"/>
    <xf numFmtId="0" fontId="0" fillId="3" borderId="1" xfId="0" applyFill="1" applyBorder="1" applyAlignment="1" applyProtection="1">
      <alignment horizontal="center" wrapText="1"/>
    </xf>
    <xf numFmtId="0" fontId="0" fillId="0" borderId="0" xfId="0" applyBorder="1" applyAlignment="1" applyProtection="1">
      <alignment horizontal="center"/>
      <protection locked="0"/>
    </xf>
    <xf numFmtId="0" fontId="0" fillId="0" borderId="0" xfId="0" applyBorder="1" applyProtection="1">
      <protection locked="0"/>
    </xf>
    <xf numFmtId="0" fontId="0" fillId="3" borderId="13" xfId="0" applyFill="1" applyBorder="1" applyAlignment="1" applyProtection="1"/>
    <xf numFmtId="0" fontId="0" fillId="3" borderId="6" xfId="0" applyFill="1" applyBorder="1" applyAlignment="1" applyProtection="1"/>
    <xf numFmtId="0" fontId="2" fillId="0" borderId="0" xfId="0" applyFont="1" applyFill="1" applyBorder="1" applyProtection="1"/>
    <xf numFmtId="0" fontId="0" fillId="3" borderId="0" xfId="0" applyFill="1" applyBorder="1" applyProtection="1"/>
    <xf numFmtId="1" fontId="0" fillId="0" borderId="1" xfId="0" applyNumberFormat="1" applyBorder="1" applyProtection="1"/>
    <xf numFmtId="2" fontId="0" fillId="0" borderId="0" xfId="2" applyNumberFormat="1" applyFont="1" applyBorder="1" applyProtection="1">
      <protection locked="0"/>
    </xf>
    <xf numFmtId="2" fontId="0" fillId="3" borderId="1" xfId="0" applyNumberFormat="1" applyFill="1" applyBorder="1" applyProtection="1"/>
    <xf numFmtId="0" fontId="0" fillId="2" borderId="1" xfId="0" applyFill="1" applyBorder="1" applyAlignment="1" applyProtection="1">
      <alignment horizontal="center" wrapText="1"/>
      <protection locked="0"/>
    </xf>
    <xf numFmtId="0" fontId="0" fillId="7" borderId="1" xfId="0" applyFill="1" applyBorder="1" applyAlignment="1" applyProtection="1">
      <alignment horizontal="left"/>
    </xf>
    <xf numFmtId="2" fontId="0" fillId="7" borderId="1" xfId="0" applyNumberFormat="1" applyFill="1" applyBorder="1" applyAlignment="1" applyProtection="1">
      <alignment horizontal="right"/>
    </xf>
    <xf numFmtId="164" fontId="0" fillId="7" borderId="1" xfId="0" applyNumberFormat="1" applyFill="1" applyBorder="1" applyAlignment="1" applyProtection="1">
      <alignment horizontal="right"/>
    </xf>
    <xf numFmtId="1" fontId="0" fillId="7" borderId="1" xfId="0" applyNumberFormat="1" applyFill="1" applyBorder="1" applyAlignment="1" applyProtection="1">
      <alignment horizontal="right"/>
    </xf>
    <xf numFmtId="164" fontId="0" fillId="7" borderId="1" xfId="0" applyNumberFormat="1" applyFill="1" applyBorder="1" applyProtection="1"/>
    <xf numFmtId="10" fontId="0" fillId="3" borderId="1" xfId="2" applyNumberFormat="1" applyFont="1" applyFill="1" applyBorder="1" applyAlignment="1" applyProtection="1">
      <alignment horizontal="left"/>
    </xf>
    <xf numFmtId="1" fontId="0" fillId="7" borderId="1" xfId="0" applyNumberFormat="1" applyFill="1" applyBorder="1" applyProtection="1"/>
    <xf numFmtId="9" fontId="0" fillId="3" borderId="1" xfId="2" applyFont="1" applyFill="1" applyBorder="1" applyProtection="1"/>
    <xf numFmtId="9" fontId="0" fillId="0" borderId="1" xfId="2" applyFont="1" applyBorder="1" applyProtection="1"/>
    <xf numFmtId="0" fontId="0" fillId="7" borderId="1" xfId="0" applyFill="1" applyBorder="1" applyAlignment="1" applyProtection="1">
      <alignment horizontal="right"/>
    </xf>
    <xf numFmtId="0" fontId="0" fillId="3" borderId="3" xfId="0" applyFill="1" applyBorder="1" applyAlignment="1" applyProtection="1">
      <alignment horizontal="center" wrapText="1"/>
    </xf>
    <xf numFmtId="0" fontId="0" fillId="3" borderId="5" xfId="0" applyFill="1" applyBorder="1" applyAlignment="1" applyProtection="1">
      <alignment horizontal="right"/>
    </xf>
    <xf numFmtId="0" fontId="0" fillId="2" borderId="5" xfId="0" applyFill="1" applyBorder="1" applyAlignment="1" applyProtection="1">
      <alignment horizontal="right"/>
      <protection locked="0"/>
    </xf>
    <xf numFmtId="0" fontId="0" fillId="0" borderId="6" xfId="0" applyBorder="1" applyProtection="1"/>
    <xf numFmtId="0" fontId="0" fillId="3" borderId="6" xfId="0" applyFill="1" applyBorder="1" applyProtection="1"/>
    <xf numFmtId="0" fontId="0" fillId="6" borderId="6" xfId="0" applyFill="1" applyBorder="1" applyProtection="1"/>
    <xf numFmtId="0" fontId="0" fillId="6" borderId="1" xfId="0" applyFill="1" applyBorder="1" applyAlignment="1" applyProtection="1">
      <alignment horizontal="left"/>
    </xf>
    <xf numFmtId="165" fontId="0" fillId="6" borderId="1" xfId="0" applyNumberFormat="1" applyFill="1" applyBorder="1" applyAlignment="1" applyProtection="1">
      <alignment horizontal="left"/>
    </xf>
    <xf numFmtId="164" fontId="0" fillId="8" borderId="1" xfId="0" applyNumberFormat="1" applyFill="1" applyBorder="1" applyProtection="1"/>
    <xf numFmtId="2" fontId="0" fillId="8" borderId="1" xfId="0" applyNumberFormat="1" applyFill="1" applyBorder="1" applyProtection="1"/>
    <xf numFmtId="164" fontId="0" fillId="8" borderId="1" xfId="0" applyNumberFormat="1" applyFill="1" applyBorder="1"/>
    <xf numFmtId="0" fontId="0" fillId="4" borderId="1" xfId="0" applyFill="1" applyBorder="1" applyAlignment="1">
      <alignment horizontal="center" wrapText="1"/>
    </xf>
    <xf numFmtId="0" fontId="0" fillId="7" borderId="1" xfId="0" applyFill="1" applyBorder="1" applyAlignment="1" applyProtection="1">
      <alignment horizontal="center" vertical="center" textRotation="90" wrapText="1"/>
    </xf>
    <xf numFmtId="0" fontId="0" fillId="3" borderId="1" xfId="0" applyFill="1" applyBorder="1" applyAlignment="1" applyProtection="1">
      <alignment horizontal="center" wrapText="1"/>
      <protection locked="0"/>
    </xf>
    <xf numFmtId="0" fontId="0" fillId="0" borderId="2" xfId="0" applyBorder="1" applyAlignment="1">
      <alignment horizontal="center"/>
    </xf>
    <xf numFmtId="0" fontId="0" fillId="3" borderId="3" xfId="0" applyFill="1" applyBorder="1" applyAlignment="1" applyProtection="1">
      <alignment horizontal="center" wrapText="1"/>
      <protection locked="0"/>
    </xf>
    <xf numFmtId="0" fontId="0" fillId="0" borderId="3" xfId="0" applyBorder="1" applyAlignment="1" applyProtection="1">
      <alignment horizontal="center" wrapText="1"/>
    </xf>
    <xf numFmtId="0" fontId="0" fillId="0" borderId="9" xfId="0" applyBorder="1" applyAlignment="1" applyProtection="1">
      <alignment horizontal="center" wrapText="1"/>
    </xf>
    <xf numFmtId="0" fontId="0" fillId="0" borderId="10" xfId="0" applyBorder="1" applyAlignment="1" applyProtection="1">
      <alignment horizontal="center" wrapText="1"/>
    </xf>
    <xf numFmtId="0" fontId="0" fillId="0" borderId="8" xfId="0" applyBorder="1" applyAlignment="1" applyProtection="1">
      <alignment horizontal="center" wrapText="1"/>
    </xf>
    <xf numFmtId="0" fontId="0" fillId="0" borderId="11" xfId="0" applyBorder="1" applyAlignment="1" applyProtection="1">
      <alignment horizontal="center" wrapText="1"/>
    </xf>
    <xf numFmtId="0" fontId="0" fillId="0" borderId="12" xfId="0" applyBorder="1" applyAlignment="1" applyProtection="1">
      <alignment horizontal="center" wrapText="1"/>
    </xf>
    <xf numFmtId="0" fontId="0" fillId="3" borderId="5" xfId="0" applyFill="1" applyBorder="1" applyAlignment="1" applyProtection="1">
      <alignment horizontal="center"/>
    </xf>
    <xf numFmtId="0" fontId="0" fillId="3" borderId="13" xfId="0" applyFill="1" applyBorder="1" applyAlignment="1" applyProtection="1">
      <alignment horizontal="center"/>
    </xf>
    <xf numFmtId="0" fontId="0" fillId="3" borderId="1" xfId="0" applyFill="1" applyBorder="1" applyAlignment="1" applyProtection="1">
      <alignment horizontal="center" wrapText="1"/>
    </xf>
    <xf numFmtId="9" fontId="0" fillId="0" borderId="1" xfId="2" applyFont="1" applyBorder="1" applyAlignment="1" applyProtection="1">
      <alignment horizontal="center" vertical="center"/>
    </xf>
    <xf numFmtId="0" fontId="0" fillId="3" borderId="5" xfId="0" applyFill="1" applyBorder="1" applyAlignment="1" applyProtection="1">
      <alignment horizontal="left"/>
    </xf>
    <xf numFmtId="0" fontId="0" fillId="3" borderId="6" xfId="0" applyFill="1" applyBorder="1" applyAlignment="1" applyProtection="1">
      <alignment horizontal="left"/>
    </xf>
    <xf numFmtId="0" fontId="0" fillId="3" borderId="3" xfId="0" applyFill="1" applyBorder="1" applyAlignment="1" applyProtection="1">
      <alignment horizontal="center" wrapText="1"/>
    </xf>
    <xf numFmtId="0" fontId="0" fillId="3" borderId="9" xfId="0" applyFill="1" applyBorder="1" applyAlignment="1" applyProtection="1">
      <alignment horizontal="center" wrapText="1"/>
    </xf>
    <xf numFmtId="0" fontId="0" fillId="3" borderId="3" xfId="0" applyFill="1" applyBorder="1" applyAlignment="1" applyProtection="1">
      <alignment horizontal="center" vertical="center" wrapText="1"/>
    </xf>
    <xf numFmtId="0" fontId="0" fillId="3" borderId="4" xfId="0" applyFill="1" applyBorder="1" applyAlignment="1" applyProtection="1">
      <alignment horizontal="center" vertical="center" wrapText="1"/>
    </xf>
    <xf numFmtId="0" fontId="0" fillId="3" borderId="9" xfId="0" applyFill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/>
    </xf>
    <xf numFmtId="0" fontId="0" fillId="0" borderId="5" xfId="0" applyBorder="1" applyAlignment="1" applyProtection="1">
      <alignment horizontal="center" wrapText="1"/>
    </xf>
    <xf numFmtId="0" fontId="0" fillId="0" borderId="13" xfId="0" applyBorder="1" applyAlignment="1" applyProtection="1">
      <alignment horizontal="center" wrapText="1"/>
    </xf>
    <xf numFmtId="0" fontId="0" fillId="0" borderId="6" xfId="0" applyBorder="1" applyAlignment="1" applyProtection="1">
      <alignment horizontal="center" wrapText="1"/>
    </xf>
    <xf numFmtId="0" fontId="0" fillId="3" borderId="1" xfId="0" applyFill="1" applyBorder="1" applyAlignment="1" applyProtection="1">
      <alignment horizontal="center"/>
    </xf>
    <xf numFmtId="0" fontId="0" fillId="0" borderId="0" xfId="0" applyBorder="1" applyAlignment="1">
      <alignment horizontal="center"/>
    </xf>
    <xf numFmtId="0" fontId="3" fillId="3" borderId="1" xfId="0" applyFont="1" applyFill="1" applyBorder="1" applyAlignment="1" applyProtection="1">
      <alignment horizontal="center" wrapText="1"/>
    </xf>
    <xf numFmtId="0" fontId="0" fillId="0" borderId="7" xfId="0" applyBorder="1" applyAlignment="1">
      <alignment horizontal="center"/>
    </xf>
    <xf numFmtId="0" fontId="0" fillId="3" borderId="5" xfId="0" applyFill="1" applyBorder="1" applyAlignment="1" applyProtection="1">
      <alignment horizontal="center"/>
      <protection locked="0"/>
    </xf>
    <xf numFmtId="0" fontId="0" fillId="3" borderId="6" xfId="0" applyFill="1" applyBorder="1" applyAlignment="1" applyProtection="1">
      <alignment horizontal="center"/>
      <protection locked="0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4FFF9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D38"/>
  <sheetViews>
    <sheetView tabSelected="1" topLeftCell="B1" zoomScaleNormal="100" zoomScalePageLayoutView="90" workbookViewId="0">
      <selection activeCell="E30" sqref="E30"/>
    </sheetView>
  </sheetViews>
  <sheetFormatPr defaultColWidth="8.85546875" defaultRowHeight="15" x14ac:dyDescent="0.25"/>
  <cols>
    <col min="2" max="2" width="22.42578125" bestFit="1" customWidth="1"/>
    <col min="3" max="3" width="9.42578125" bestFit="1" customWidth="1"/>
    <col min="4" max="4" width="12" bestFit="1" customWidth="1"/>
    <col min="5" max="5" width="9.42578125" customWidth="1"/>
    <col min="6" max="6" width="9" hidden="1" customWidth="1"/>
    <col min="7" max="7" width="6.42578125" bestFit="1" customWidth="1"/>
    <col min="8" max="18" width="5.42578125" customWidth="1"/>
    <col min="19" max="19" width="15.140625" bestFit="1" customWidth="1"/>
    <col min="20" max="20" width="6.42578125" bestFit="1" customWidth="1"/>
    <col min="21" max="22" width="6.42578125" customWidth="1"/>
    <col min="23" max="30" width="5.42578125" customWidth="1"/>
  </cols>
  <sheetData>
    <row r="1" spans="2:30" x14ac:dyDescent="0.25">
      <c r="B1" t="s">
        <v>99</v>
      </c>
      <c r="C1" s="16"/>
      <c r="F1" s="154" t="s">
        <v>98</v>
      </c>
      <c r="T1" s="155" t="s">
        <v>46</v>
      </c>
      <c r="U1" s="155"/>
      <c r="V1" s="155"/>
      <c r="W1" s="155"/>
      <c r="X1" s="155"/>
      <c r="Y1" s="155"/>
      <c r="Z1" s="155"/>
      <c r="AA1" s="155"/>
      <c r="AB1" s="155"/>
      <c r="AC1" s="155"/>
      <c r="AD1" s="155"/>
    </row>
    <row r="2" spans="2:30" x14ac:dyDescent="0.25">
      <c r="B2" s="20" t="s">
        <v>96</v>
      </c>
      <c r="C2" s="75" t="s">
        <v>136</v>
      </c>
      <c r="D2" s="48" t="s">
        <v>54</v>
      </c>
      <c r="E2" s="119" t="s">
        <v>134</v>
      </c>
      <c r="F2" s="154"/>
      <c r="G2" s="9" t="s">
        <v>18</v>
      </c>
      <c r="H2" s="8" t="s">
        <v>19</v>
      </c>
      <c r="I2" s="7" t="s">
        <v>20</v>
      </c>
      <c r="J2" s="7" t="s">
        <v>32</v>
      </c>
      <c r="K2" s="7" t="s">
        <v>31</v>
      </c>
      <c r="L2" s="7" t="s">
        <v>33</v>
      </c>
      <c r="M2" s="7" t="s">
        <v>36</v>
      </c>
      <c r="N2" s="7" t="s">
        <v>35</v>
      </c>
      <c r="O2" s="7" t="s">
        <v>34</v>
      </c>
      <c r="P2" s="7" t="s">
        <v>37</v>
      </c>
      <c r="Q2" s="7" t="s">
        <v>38</v>
      </c>
      <c r="R2" s="21"/>
      <c r="T2" s="9" t="s">
        <v>18</v>
      </c>
      <c r="U2" s="8" t="s">
        <v>19</v>
      </c>
      <c r="V2" s="7" t="s">
        <v>20</v>
      </c>
      <c r="W2" s="7" t="s">
        <v>32</v>
      </c>
      <c r="X2" s="7" t="s">
        <v>31</v>
      </c>
      <c r="Y2" s="7" t="s">
        <v>33</v>
      </c>
      <c r="Z2" s="7" t="s">
        <v>36</v>
      </c>
      <c r="AA2" s="7" t="s">
        <v>35</v>
      </c>
      <c r="AB2" s="7" t="s">
        <v>34</v>
      </c>
      <c r="AC2" s="7" t="s">
        <v>37</v>
      </c>
      <c r="AD2" s="7" t="s">
        <v>38</v>
      </c>
    </row>
    <row r="3" spans="2:30" x14ac:dyDescent="0.25">
      <c r="B3" s="115" t="s">
        <v>0</v>
      </c>
      <c r="C3" s="17">
        <f>VLOOKUP(B3,'Fertilizer Calc Pricing'!D3:AE28,2,FALSE)</f>
        <v>875</v>
      </c>
      <c r="D3" s="17">
        <f>VLOOKUP(B3,'Fertilizer Calc Pricing'!D3:AE28,3,FALSE)</f>
        <v>88.8125</v>
      </c>
      <c r="E3" s="111">
        <v>203</v>
      </c>
      <c r="F3" s="1">
        <f>VLOOKUP($B3,'Fertilizer Calc Pricing'!$D$3:$AE$28,4,FALSE)</f>
        <v>203</v>
      </c>
      <c r="G3" s="2">
        <f>VLOOKUP($B3,'Fertilizer Calc Pricing'!$D$3:$AE$28,6,FALSE)</f>
        <v>0.46</v>
      </c>
      <c r="H3" s="2" t="str">
        <f>VLOOKUP($B3,'Fertilizer Calc Pricing'!$D$3:$AE$28,7,FALSE)</f>
        <v>-</v>
      </c>
      <c r="I3" s="2" t="str">
        <f>VLOOKUP($B3,'Fertilizer Calc Pricing'!$D$3:$AE$28,8,FALSE)</f>
        <v>-</v>
      </c>
      <c r="J3" s="2" t="str">
        <f>VLOOKUP($B3,'Fertilizer Calc Pricing'!$D$3:$AE$28,9,FALSE)</f>
        <v>-</v>
      </c>
      <c r="K3" s="2" t="str">
        <f>VLOOKUP($B3,'Fertilizer Calc Pricing'!$D$3:$AE$28,10,FALSE)</f>
        <v>-</v>
      </c>
      <c r="L3" s="2" t="str">
        <f>VLOOKUP($B3,'Fertilizer Calc Pricing'!$D$3:$AE$28,11,FALSE)</f>
        <v>-</v>
      </c>
      <c r="M3" s="2" t="str">
        <f>VLOOKUP($B3,'Fertilizer Calc Pricing'!$D$3:$AE$28,12,FALSE)</f>
        <v>-</v>
      </c>
      <c r="N3" s="2" t="str">
        <f>VLOOKUP($B3,'Fertilizer Calc Pricing'!$D$3:$AE$28,13,FALSE)</f>
        <v>-</v>
      </c>
      <c r="O3" s="2" t="str">
        <f>VLOOKUP($B3,'Fertilizer Calc Pricing'!$D$3:$AE$28,14,FALSE)</f>
        <v>-</v>
      </c>
      <c r="P3" s="2" t="str">
        <f>VLOOKUP($B3,'Fertilizer Calc Pricing'!$D$3:$AE$28,15,FALSE)</f>
        <v>-</v>
      </c>
      <c r="Q3" s="2" t="str">
        <f>VLOOKUP($B3,'Fertilizer Calc Pricing'!$D$3:$AE$28,16,FALSE)</f>
        <v>-</v>
      </c>
      <c r="R3" s="94"/>
      <c r="T3" s="4">
        <f>VLOOKUP($B3,'Fertilizer Calc Pricing'!$D$3:$AE$28,18,FALSE)</f>
        <v>93.38000000000001</v>
      </c>
      <c r="U3" s="4" t="str">
        <f>VLOOKUP($B3,'Fertilizer Calc Pricing'!$D$3:$AE$28,19,FALSE)</f>
        <v>-</v>
      </c>
      <c r="V3" s="4" t="str">
        <f>VLOOKUP($B3,'Fertilizer Calc Pricing'!$D$3:$AE$28,20,FALSE)</f>
        <v>-</v>
      </c>
      <c r="W3" s="4" t="str">
        <f>VLOOKUP($B3,'Fertilizer Calc Pricing'!$D$3:$AE$28,21,FALSE)</f>
        <v>-</v>
      </c>
      <c r="X3" s="4" t="str">
        <f>VLOOKUP($B3,'Fertilizer Calc Pricing'!$D$3:$AE$28,22,FALSE)</f>
        <v>-</v>
      </c>
      <c r="Y3" s="4" t="str">
        <f>VLOOKUP($B3,'Fertilizer Calc Pricing'!$D$3:$AE$28,23,FALSE)</f>
        <v>-</v>
      </c>
      <c r="Z3" s="4" t="str">
        <f>VLOOKUP($B3,'Fertilizer Calc Pricing'!$D$3:$AE$28,24,FALSE)</f>
        <v>-</v>
      </c>
      <c r="AA3" s="4" t="str">
        <f>VLOOKUP($B3,'Fertilizer Calc Pricing'!$D$3:$AE$28,25,FALSE)</f>
        <v>-</v>
      </c>
      <c r="AB3" s="4" t="str">
        <f>VLOOKUP($B3,'Fertilizer Calc Pricing'!$D$3:$AE$28,26,FALSE)</f>
        <v>-</v>
      </c>
      <c r="AC3" s="4" t="str">
        <f>VLOOKUP($B3,'Fertilizer Calc Pricing'!$D$3:$AE$28,27,FALSE)</f>
        <v>-</v>
      </c>
      <c r="AD3" s="4" t="str">
        <f>VLOOKUP($B3,'Fertilizer Calc Pricing'!$D$3:$AE$28,28,FALSE)</f>
        <v>-</v>
      </c>
    </row>
    <row r="4" spans="2:30" x14ac:dyDescent="0.25">
      <c r="B4" s="115" t="s">
        <v>1</v>
      </c>
      <c r="C4" s="17">
        <f>VLOOKUP(B4,'Fertilizer Calc Pricing'!D3:AE28,2,FALSE)</f>
        <v>850</v>
      </c>
      <c r="D4" s="17">
        <f>VLOOKUP(B4,'Fertilizer Calc Pricing'!D3:AE28,3,FALSE)</f>
        <v>93.5</v>
      </c>
      <c r="E4" s="111">
        <v>220</v>
      </c>
      <c r="F4" s="1">
        <f>VLOOKUP($B4,'Fertilizer Calc Pricing'!$D$3:$AE$28,4,FALSE)</f>
        <v>220</v>
      </c>
      <c r="G4" s="2">
        <f>VLOOKUP($B4,'Fertilizer Calc Pricing'!$D$3:$AE$28,6,FALSE)</f>
        <v>0.18</v>
      </c>
      <c r="H4" s="2">
        <f>VLOOKUP($B4,'Fertilizer Calc Pricing'!$D$3:$AE$28,7,FALSE)</f>
        <v>0.46</v>
      </c>
      <c r="I4" s="2" t="str">
        <f>VLOOKUP($B4,'Fertilizer Calc Pricing'!$D$3:$AE$28,8,FALSE)</f>
        <v>-</v>
      </c>
      <c r="J4" s="2" t="str">
        <f>VLOOKUP($B4,'Fertilizer Calc Pricing'!$D$3:$AE$28,9,FALSE)</f>
        <v>-</v>
      </c>
      <c r="K4" s="2" t="str">
        <f>VLOOKUP($B4,'Fertilizer Calc Pricing'!$D$3:$AE$28,10,FALSE)</f>
        <v>-</v>
      </c>
      <c r="L4" s="2" t="str">
        <f>VLOOKUP($B4,'Fertilizer Calc Pricing'!$D$3:$AE$28,11,FALSE)</f>
        <v>-</v>
      </c>
      <c r="M4" s="2" t="str">
        <f>VLOOKUP($B4,'Fertilizer Calc Pricing'!$D$3:$AE$28,12,FALSE)</f>
        <v>-</v>
      </c>
      <c r="N4" s="2" t="str">
        <f>VLOOKUP($B4,'Fertilizer Calc Pricing'!$D$3:$AE$28,13,FALSE)</f>
        <v>-</v>
      </c>
      <c r="O4" s="2" t="str">
        <f>VLOOKUP($B4,'Fertilizer Calc Pricing'!$D$3:$AE$28,14,FALSE)</f>
        <v>-</v>
      </c>
      <c r="P4" s="2" t="str">
        <f>VLOOKUP($B4,'Fertilizer Calc Pricing'!$D$3:$AE$28,15,FALSE)</f>
        <v>-</v>
      </c>
      <c r="Q4" s="2" t="str">
        <f>VLOOKUP($B4,'Fertilizer Calc Pricing'!$D$3:$AE$28,16,FALSE)</f>
        <v>-</v>
      </c>
      <c r="R4" s="94"/>
      <c r="T4" s="4">
        <f>VLOOKUP($B4,'Fertilizer Calc Pricing'!$D$3:$AE$28,18,FALSE)</f>
        <v>39.6</v>
      </c>
      <c r="U4" s="4">
        <f>VLOOKUP($B4,'Fertilizer Calc Pricing'!$D$3:$AE$28,19,FALSE)</f>
        <v>101.2</v>
      </c>
      <c r="V4" s="4" t="str">
        <f>VLOOKUP($B4,'Fertilizer Calc Pricing'!$D$3:$AE$28,20,FALSE)</f>
        <v>-</v>
      </c>
      <c r="W4" s="4" t="str">
        <f>VLOOKUP($B4,'Fertilizer Calc Pricing'!$D$3:$AE$28,21,FALSE)</f>
        <v>-</v>
      </c>
      <c r="X4" s="4" t="str">
        <f>VLOOKUP($B4,'Fertilizer Calc Pricing'!$D$3:$AE$28,22,FALSE)</f>
        <v>-</v>
      </c>
      <c r="Y4" s="4" t="str">
        <f>VLOOKUP($B4,'Fertilizer Calc Pricing'!$D$3:$AE$28,23,FALSE)</f>
        <v>-</v>
      </c>
      <c r="Z4" s="4" t="str">
        <f>VLOOKUP($B4,'Fertilizer Calc Pricing'!$D$3:$AE$28,24,FALSE)</f>
        <v>-</v>
      </c>
      <c r="AA4" s="4" t="str">
        <f>VLOOKUP($B4,'Fertilizer Calc Pricing'!$D$3:$AE$28,25,FALSE)</f>
        <v>-</v>
      </c>
      <c r="AB4" s="4" t="str">
        <f>VLOOKUP($B4,'Fertilizer Calc Pricing'!$D$3:$AE$28,26,FALSE)</f>
        <v>-</v>
      </c>
      <c r="AC4" s="4" t="str">
        <f>VLOOKUP($B4,'Fertilizer Calc Pricing'!$D$3:$AE$28,27,FALSE)</f>
        <v>-</v>
      </c>
      <c r="AD4" s="4" t="str">
        <f>VLOOKUP($B4,'Fertilizer Calc Pricing'!$D$3:$AE$28,28,FALSE)</f>
        <v>-</v>
      </c>
    </row>
    <row r="5" spans="2:30" x14ac:dyDescent="0.25">
      <c r="B5" s="115" t="s">
        <v>2</v>
      </c>
      <c r="C5" s="17">
        <f>VLOOKUP(B5,'Fertilizer Calc Pricing'!D3:AE28,2,FALSE)</f>
        <v>775</v>
      </c>
      <c r="D5" s="17">
        <f>VLOOKUP(B5,'Fertilizer Calc Pricing'!D3:AE28,3,FALSE)</f>
        <v>65.100000000000009</v>
      </c>
      <c r="E5" s="111">
        <v>168</v>
      </c>
      <c r="F5" s="1">
        <f>VLOOKUP($B5,'Fertilizer Calc Pricing'!$D$3:$AE$28,4,FALSE)</f>
        <v>168</v>
      </c>
      <c r="G5" s="2" t="str">
        <f>VLOOKUP($B5,'Fertilizer Calc Pricing'!$D$3:$AE$28,6,FALSE)</f>
        <v>-</v>
      </c>
      <c r="H5" s="2" t="str">
        <f>VLOOKUP($B5,'Fertilizer Calc Pricing'!$D$3:$AE$28,7,FALSE)</f>
        <v>-</v>
      </c>
      <c r="I5" s="2">
        <f>VLOOKUP($B5,'Fertilizer Calc Pricing'!$D$3:$AE$28,8,FALSE)</f>
        <v>0.6</v>
      </c>
      <c r="J5" s="2" t="str">
        <f>VLOOKUP($B5,'Fertilizer Calc Pricing'!$D$3:$AE$28,9,FALSE)</f>
        <v>-</v>
      </c>
      <c r="K5" s="2" t="str">
        <f>VLOOKUP($B5,'Fertilizer Calc Pricing'!$D$3:$AE$28,10,FALSE)</f>
        <v>-</v>
      </c>
      <c r="L5" s="2" t="str">
        <f>VLOOKUP($B5,'Fertilizer Calc Pricing'!$D$3:$AE$28,11,FALSE)</f>
        <v>-</v>
      </c>
      <c r="M5" s="2" t="str">
        <f>VLOOKUP($B5,'Fertilizer Calc Pricing'!$D$3:$AE$28,12,FALSE)</f>
        <v>-</v>
      </c>
      <c r="N5" s="2" t="str">
        <f>VLOOKUP($B5,'Fertilizer Calc Pricing'!$D$3:$AE$28,13,FALSE)</f>
        <v>-</v>
      </c>
      <c r="O5" s="2" t="str">
        <f>VLOOKUP($B5,'Fertilizer Calc Pricing'!$D$3:$AE$28,14,FALSE)</f>
        <v>-</v>
      </c>
      <c r="P5" s="2" t="str">
        <f>VLOOKUP($B5,'Fertilizer Calc Pricing'!$D$3:$AE$28,15,FALSE)</f>
        <v>-</v>
      </c>
      <c r="Q5" s="2" t="str">
        <f>VLOOKUP($B5,'Fertilizer Calc Pricing'!$D$3:$AE$28,16,FALSE)</f>
        <v>-</v>
      </c>
      <c r="R5" s="94"/>
      <c r="T5" s="4" t="str">
        <f>VLOOKUP($B5,'Fertilizer Calc Pricing'!$D$3:$AE$28,18,FALSE)</f>
        <v>-</v>
      </c>
      <c r="U5" s="4" t="str">
        <f>VLOOKUP($B5,'Fertilizer Calc Pricing'!$D$3:$AE$28,19,FALSE)</f>
        <v>-</v>
      </c>
      <c r="V5" s="4">
        <f>VLOOKUP($B5,'Fertilizer Calc Pricing'!$D$3:$AE$28,20,FALSE)</f>
        <v>100.8</v>
      </c>
      <c r="W5" s="4" t="str">
        <f>VLOOKUP($B5,'Fertilizer Calc Pricing'!$D$3:$AE$28,21,FALSE)</f>
        <v>-</v>
      </c>
      <c r="X5" s="4" t="str">
        <f>VLOOKUP($B5,'Fertilizer Calc Pricing'!$D$3:$AE$28,22,FALSE)</f>
        <v>-</v>
      </c>
      <c r="Y5" s="4" t="str">
        <f>VLOOKUP($B5,'Fertilizer Calc Pricing'!$D$3:$AE$28,23,FALSE)</f>
        <v>-</v>
      </c>
      <c r="Z5" s="4" t="str">
        <f>VLOOKUP($B5,'Fertilizer Calc Pricing'!$D$3:$AE$28,24,FALSE)</f>
        <v>-</v>
      </c>
      <c r="AA5" s="4" t="str">
        <f>VLOOKUP($B5,'Fertilizer Calc Pricing'!$D$3:$AE$28,25,FALSE)</f>
        <v>-</v>
      </c>
      <c r="AB5" s="4" t="str">
        <f>VLOOKUP($B5,'Fertilizer Calc Pricing'!$D$3:$AE$28,26,FALSE)</f>
        <v>-</v>
      </c>
      <c r="AC5" s="4" t="str">
        <f>VLOOKUP($B5,'Fertilizer Calc Pricing'!$D$3:$AE$28,27,FALSE)</f>
        <v>-</v>
      </c>
      <c r="AD5" s="4" t="str">
        <f>VLOOKUP($B5,'Fertilizer Calc Pricing'!$D$3:$AE$28,28,FALSE)</f>
        <v>-</v>
      </c>
    </row>
    <row r="6" spans="2:30" x14ac:dyDescent="0.25">
      <c r="B6" s="115" t="s">
        <v>24</v>
      </c>
      <c r="C6" s="17">
        <f>VLOOKUP(B6,'Fertilizer Calc Pricing'!D3:AE28,2,FALSE)</f>
        <v>630</v>
      </c>
      <c r="D6" s="17">
        <f>VLOOKUP(B6,'Fertilizer Calc Pricing'!D3:AE28,3,FALSE)</f>
        <v>26.775000000000002</v>
      </c>
      <c r="E6" s="111">
        <v>85</v>
      </c>
      <c r="F6" s="1">
        <f>VLOOKUP($B6,'Fertilizer Calc Pricing'!$D$3:$AE$28,4,FALSE)</f>
        <v>85</v>
      </c>
      <c r="G6" s="2">
        <f>VLOOKUP($B6,'Fertilizer Calc Pricing'!$D$3:$AE$28,6,FALSE)</f>
        <v>0.21</v>
      </c>
      <c r="H6" s="2" t="str">
        <f>VLOOKUP($B6,'Fertilizer Calc Pricing'!$D$3:$AE$28,7,FALSE)</f>
        <v>-</v>
      </c>
      <c r="I6" s="2" t="str">
        <f>VLOOKUP($B6,'Fertilizer Calc Pricing'!$D$3:$AE$28,8,FALSE)</f>
        <v>-</v>
      </c>
      <c r="J6" s="2" t="str">
        <f>VLOOKUP($B6,'Fertilizer Calc Pricing'!$D$3:$AE$28,9,FALSE)</f>
        <v>-</v>
      </c>
      <c r="K6" s="2" t="str">
        <f>VLOOKUP($B6,'Fertilizer Calc Pricing'!$D$3:$AE$28,10,FALSE)</f>
        <v>-</v>
      </c>
      <c r="L6" s="2">
        <f>VLOOKUP($B6,'Fertilizer Calc Pricing'!$D$3:$AE$28,11,FALSE)</f>
        <v>0.24</v>
      </c>
      <c r="M6" s="2" t="str">
        <f>VLOOKUP($B6,'Fertilizer Calc Pricing'!$D$3:$AE$28,12,FALSE)</f>
        <v>-</v>
      </c>
      <c r="N6" s="2" t="str">
        <f>VLOOKUP($B6,'Fertilizer Calc Pricing'!$D$3:$AE$28,13,FALSE)</f>
        <v>-</v>
      </c>
      <c r="O6" s="2" t="str">
        <f>VLOOKUP($B6,'Fertilizer Calc Pricing'!$D$3:$AE$28,14,FALSE)</f>
        <v>-</v>
      </c>
      <c r="P6" s="2" t="str">
        <f>VLOOKUP($B6,'Fertilizer Calc Pricing'!$D$3:$AE$28,15,FALSE)</f>
        <v>-</v>
      </c>
      <c r="Q6" s="2" t="str">
        <f>VLOOKUP($B6,'Fertilizer Calc Pricing'!$D$3:$AE$28,16,FALSE)</f>
        <v>-</v>
      </c>
      <c r="R6" s="94"/>
      <c r="T6" s="4">
        <f>VLOOKUP($B6,'Fertilizer Calc Pricing'!$D$3:$AE$28,18,FALSE)</f>
        <v>17.849999999999998</v>
      </c>
      <c r="U6" s="4" t="str">
        <f>VLOOKUP($B6,'Fertilizer Calc Pricing'!$D$3:$AE$28,19,FALSE)</f>
        <v>-</v>
      </c>
      <c r="V6" s="4" t="str">
        <f>VLOOKUP($B6,'Fertilizer Calc Pricing'!$D$3:$AE$28,20,FALSE)</f>
        <v>-</v>
      </c>
      <c r="W6" s="4" t="str">
        <f>VLOOKUP($B6,'Fertilizer Calc Pricing'!$D$3:$AE$28,21,FALSE)</f>
        <v>-</v>
      </c>
      <c r="X6" s="4" t="str">
        <f>VLOOKUP($B6,'Fertilizer Calc Pricing'!$D$3:$AE$28,22,FALSE)</f>
        <v>-</v>
      </c>
      <c r="Y6" s="4">
        <f>VLOOKUP($B6,'Fertilizer Calc Pricing'!$D$3:$AE$28,23,FALSE)</f>
        <v>20.399999999999999</v>
      </c>
      <c r="Z6" s="4" t="str">
        <f>VLOOKUP($B6,'Fertilizer Calc Pricing'!$D$3:$AE$28,24,FALSE)</f>
        <v>-</v>
      </c>
      <c r="AA6" s="4" t="str">
        <f>VLOOKUP($B6,'Fertilizer Calc Pricing'!$D$3:$AE$28,25,FALSE)</f>
        <v>-</v>
      </c>
      <c r="AB6" s="4" t="str">
        <f>VLOOKUP($B6,'Fertilizer Calc Pricing'!$D$3:$AE$28,26,FALSE)</f>
        <v>-</v>
      </c>
      <c r="AC6" s="4" t="str">
        <f>VLOOKUP($B6,'Fertilizer Calc Pricing'!$D$3:$AE$28,27,FALSE)</f>
        <v>-</v>
      </c>
      <c r="AD6" s="4" t="str">
        <f>VLOOKUP($B6,'Fertilizer Calc Pricing'!$D$3:$AE$28,28,FALSE)</f>
        <v>-</v>
      </c>
    </row>
    <row r="7" spans="2:30" x14ac:dyDescent="0.25">
      <c r="B7" s="115" t="s">
        <v>129</v>
      </c>
      <c r="C7" s="17" t="str">
        <f>VLOOKUP(B7,'Fertilizer Calc Pricing'!D3:AE28,2,FALSE)</f>
        <v>-</v>
      </c>
      <c r="D7" s="17" t="str">
        <f>VLOOKUP(B7,'Fertilizer Calc Pricing'!D3:AE28,3,FALSE)</f>
        <v>-</v>
      </c>
      <c r="E7" s="111"/>
      <c r="F7" s="1">
        <f>VLOOKUP($B7,'Fertilizer Calc Pricing'!$D$3:$AE$28,4,FALSE)</f>
        <v>0</v>
      </c>
      <c r="G7" s="2" t="str">
        <f>VLOOKUP($B7,'Fertilizer Calc Pricing'!$D$3:$AE$28,6,FALSE)</f>
        <v>-</v>
      </c>
      <c r="H7" s="2" t="str">
        <f>VLOOKUP($B7,'Fertilizer Calc Pricing'!$D$3:$AE$28,7,FALSE)</f>
        <v>-</v>
      </c>
      <c r="I7" s="2" t="str">
        <f>VLOOKUP($B7,'Fertilizer Calc Pricing'!$D$3:$AE$28,8,FALSE)</f>
        <v>-</v>
      </c>
      <c r="J7" s="2" t="str">
        <f>VLOOKUP($B7,'Fertilizer Calc Pricing'!$D$3:$AE$28,9,FALSE)</f>
        <v>-</v>
      </c>
      <c r="K7" s="2" t="str">
        <f>VLOOKUP($B7,'Fertilizer Calc Pricing'!$D$3:$AE$28,10,FALSE)</f>
        <v>-</v>
      </c>
      <c r="L7" s="2" t="str">
        <f>VLOOKUP($B7,'Fertilizer Calc Pricing'!$D$3:$AE$28,11,FALSE)</f>
        <v>-</v>
      </c>
      <c r="M7" s="2" t="str">
        <f>VLOOKUP($B7,'Fertilizer Calc Pricing'!$D$3:$AE$28,12,FALSE)</f>
        <v>-</v>
      </c>
      <c r="N7" s="2" t="str">
        <f>VLOOKUP($B7,'Fertilizer Calc Pricing'!$D$3:$AE$28,13,FALSE)</f>
        <v>-</v>
      </c>
      <c r="O7" s="2" t="str">
        <f>VLOOKUP($B7,'Fertilizer Calc Pricing'!$D$3:$AE$28,14,FALSE)</f>
        <v>-</v>
      </c>
      <c r="P7" s="2" t="str">
        <f>VLOOKUP($B7,'Fertilizer Calc Pricing'!$D$3:$AE$28,15,FALSE)</f>
        <v>-</v>
      </c>
      <c r="Q7" s="2" t="str">
        <f>VLOOKUP($B7,'Fertilizer Calc Pricing'!$D$3:$AE$28,16,FALSE)</f>
        <v>-</v>
      </c>
      <c r="R7" s="94"/>
      <c r="T7" s="4" t="str">
        <f>VLOOKUP($B7,'Fertilizer Calc Pricing'!$D$3:$AE$28,18,FALSE)</f>
        <v>-</v>
      </c>
      <c r="U7" s="4" t="str">
        <f>VLOOKUP($B7,'Fertilizer Calc Pricing'!$D$3:$AE$28,19,FALSE)</f>
        <v>-</v>
      </c>
      <c r="V7" s="4" t="str">
        <f>VLOOKUP($B7,'Fertilizer Calc Pricing'!$D$3:$AE$28,20,FALSE)</f>
        <v>-</v>
      </c>
      <c r="W7" s="4" t="str">
        <f>VLOOKUP($B7,'Fertilizer Calc Pricing'!$D$3:$AE$28,21,FALSE)</f>
        <v>-</v>
      </c>
      <c r="X7" s="4" t="str">
        <f>VLOOKUP($B7,'Fertilizer Calc Pricing'!$D$3:$AE$28,22,FALSE)</f>
        <v>-</v>
      </c>
      <c r="Y7" s="4" t="str">
        <f>VLOOKUP($B7,'Fertilizer Calc Pricing'!$D$3:$AE$28,23,FALSE)</f>
        <v>-</v>
      </c>
      <c r="Z7" s="4" t="str">
        <f>VLOOKUP($B7,'Fertilizer Calc Pricing'!$D$3:$AE$28,24,FALSE)</f>
        <v>-</v>
      </c>
      <c r="AA7" s="4" t="str">
        <f>VLOOKUP($B7,'Fertilizer Calc Pricing'!$D$3:$AE$28,25,FALSE)</f>
        <v>-</v>
      </c>
      <c r="AB7" s="4" t="str">
        <f>VLOOKUP($B7,'Fertilizer Calc Pricing'!$D$3:$AE$28,26,FALSE)</f>
        <v>-</v>
      </c>
      <c r="AC7" s="4" t="str">
        <f>VLOOKUP($B7,'Fertilizer Calc Pricing'!$D$3:$AE$28,27,FALSE)</f>
        <v>-</v>
      </c>
      <c r="AD7" s="4" t="str">
        <f>VLOOKUP($B7,'Fertilizer Calc Pricing'!$D$3:$AE$28,28,FALSE)</f>
        <v>-</v>
      </c>
    </row>
    <row r="8" spans="2:30" x14ac:dyDescent="0.25">
      <c r="B8" s="115" t="s">
        <v>129</v>
      </c>
      <c r="C8" s="17" t="str">
        <f>VLOOKUP(B8,'Fertilizer Calc Pricing'!D3:AE28,2,FALSE)</f>
        <v>-</v>
      </c>
      <c r="D8" s="17" t="str">
        <f>VLOOKUP(B8,'Fertilizer Calc Pricing'!D3:AE28,3,FALSE)</f>
        <v>-</v>
      </c>
      <c r="E8" s="111"/>
      <c r="F8" s="1">
        <f>VLOOKUP($B8,'Fertilizer Calc Pricing'!$D$3:$AE$28,4,FALSE)</f>
        <v>0</v>
      </c>
      <c r="G8" s="2" t="str">
        <f>VLOOKUP($B8,'Fertilizer Calc Pricing'!$D$3:$AE$28,6,FALSE)</f>
        <v>-</v>
      </c>
      <c r="H8" s="2" t="str">
        <f>VLOOKUP($B8,'Fertilizer Calc Pricing'!$D$3:$AE$28,7,FALSE)</f>
        <v>-</v>
      </c>
      <c r="I8" s="2" t="str">
        <f>VLOOKUP($B8,'Fertilizer Calc Pricing'!$D$3:$AE$28,8,FALSE)</f>
        <v>-</v>
      </c>
      <c r="J8" s="2" t="str">
        <f>VLOOKUP($B8,'Fertilizer Calc Pricing'!$D$3:$AE$28,9,FALSE)</f>
        <v>-</v>
      </c>
      <c r="K8" s="2" t="str">
        <f>VLOOKUP($B8,'Fertilizer Calc Pricing'!$D$3:$AE$28,10,FALSE)</f>
        <v>-</v>
      </c>
      <c r="L8" s="2" t="str">
        <f>VLOOKUP($B8,'Fertilizer Calc Pricing'!$D$3:$AE$28,11,FALSE)</f>
        <v>-</v>
      </c>
      <c r="M8" s="2" t="str">
        <f>VLOOKUP($B8,'Fertilizer Calc Pricing'!$D$3:$AE$28,12,FALSE)</f>
        <v>-</v>
      </c>
      <c r="N8" s="2" t="str">
        <f>VLOOKUP($B8,'Fertilizer Calc Pricing'!$D$3:$AE$28,13,FALSE)</f>
        <v>-</v>
      </c>
      <c r="O8" s="2" t="str">
        <f>VLOOKUP($B8,'Fertilizer Calc Pricing'!$D$3:$AE$28,14,FALSE)</f>
        <v>-</v>
      </c>
      <c r="P8" s="2" t="str">
        <f>VLOOKUP($B8,'Fertilizer Calc Pricing'!$D$3:$AE$28,15,FALSE)</f>
        <v>-</v>
      </c>
      <c r="Q8" s="2" t="str">
        <f>VLOOKUP($B8,'Fertilizer Calc Pricing'!$D$3:$AE$28,16,FALSE)</f>
        <v>-</v>
      </c>
      <c r="R8" s="94"/>
      <c r="T8" s="4" t="str">
        <f>VLOOKUP($B8,'Fertilizer Calc Pricing'!$D$3:$AE$28,18,FALSE)</f>
        <v>-</v>
      </c>
      <c r="U8" s="4" t="str">
        <f>VLOOKUP($B8,'Fertilizer Calc Pricing'!$D$3:$AE$28,19,FALSE)</f>
        <v>-</v>
      </c>
      <c r="V8" s="4" t="str">
        <f>VLOOKUP($B8,'Fertilizer Calc Pricing'!$D$3:$AE$28,20,FALSE)</f>
        <v>-</v>
      </c>
      <c r="W8" s="4" t="str">
        <f>VLOOKUP($B8,'Fertilizer Calc Pricing'!$D$3:$AE$28,21,FALSE)</f>
        <v>-</v>
      </c>
      <c r="X8" s="4" t="str">
        <f>VLOOKUP($B8,'Fertilizer Calc Pricing'!$D$3:$AE$28,22,FALSE)</f>
        <v>-</v>
      </c>
      <c r="Y8" s="4" t="str">
        <f>VLOOKUP($B8,'Fertilizer Calc Pricing'!$D$3:$AE$28,23,FALSE)</f>
        <v>-</v>
      </c>
      <c r="Z8" s="4" t="str">
        <f>VLOOKUP($B8,'Fertilizer Calc Pricing'!$D$3:$AE$28,24,FALSE)</f>
        <v>-</v>
      </c>
      <c r="AA8" s="4" t="str">
        <f>VLOOKUP($B8,'Fertilizer Calc Pricing'!$D$3:$AE$28,25,FALSE)</f>
        <v>-</v>
      </c>
      <c r="AB8" s="4" t="str">
        <f>VLOOKUP($B8,'Fertilizer Calc Pricing'!$D$3:$AE$28,26,FALSE)</f>
        <v>-</v>
      </c>
      <c r="AC8" s="4" t="str">
        <f>VLOOKUP($B8,'Fertilizer Calc Pricing'!$D$3:$AE$28,27,FALSE)</f>
        <v>-</v>
      </c>
      <c r="AD8" s="4" t="str">
        <f>VLOOKUP($B8,'Fertilizer Calc Pricing'!$D$3:$AE$28,28,FALSE)</f>
        <v>-</v>
      </c>
    </row>
    <row r="9" spans="2:30" x14ac:dyDescent="0.25">
      <c r="B9" s="115" t="s">
        <v>129</v>
      </c>
      <c r="C9" s="17" t="str">
        <f>VLOOKUP(B9,'Fertilizer Calc Pricing'!D3:AE28,2,FALSE)</f>
        <v>-</v>
      </c>
      <c r="D9" s="17" t="str">
        <f>VLOOKUP(B9,'Fertilizer Calc Pricing'!D3:AE28,3,FALSE)</f>
        <v>-</v>
      </c>
      <c r="E9" s="111"/>
      <c r="F9" s="1">
        <f>VLOOKUP($B9,'Fertilizer Calc Pricing'!$D$3:$AE$28,4,FALSE)</f>
        <v>0</v>
      </c>
      <c r="G9" s="2" t="str">
        <f>VLOOKUP($B9,'Fertilizer Calc Pricing'!$D$3:$AE$28,6,FALSE)</f>
        <v>-</v>
      </c>
      <c r="H9" s="2" t="str">
        <f>VLOOKUP($B9,'Fertilizer Calc Pricing'!$D$3:$AE$28,7,FALSE)</f>
        <v>-</v>
      </c>
      <c r="I9" s="2" t="str">
        <f>VLOOKUP($B9,'Fertilizer Calc Pricing'!$D$3:$AE$28,8,FALSE)</f>
        <v>-</v>
      </c>
      <c r="J9" s="2" t="str">
        <f>VLOOKUP($B9,'Fertilizer Calc Pricing'!$D$3:$AE$28,9,FALSE)</f>
        <v>-</v>
      </c>
      <c r="K9" s="2" t="str">
        <f>VLOOKUP($B9,'Fertilizer Calc Pricing'!$D$3:$AE$28,10,FALSE)</f>
        <v>-</v>
      </c>
      <c r="L9" s="2" t="str">
        <f>VLOOKUP($B9,'Fertilizer Calc Pricing'!$D$3:$AE$28,11,FALSE)</f>
        <v>-</v>
      </c>
      <c r="M9" s="2" t="str">
        <f>VLOOKUP($B9,'Fertilizer Calc Pricing'!$D$3:$AE$28,12,FALSE)</f>
        <v>-</v>
      </c>
      <c r="N9" s="2" t="str">
        <f>VLOOKUP($B9,'Fertilizer Calc Pricing'!$D$3:$AE$28,13,FALSE)</f>
        <v>-</v>
      </c>
      <c r="O9" s="2" t="str">
        <f>VLOOKUP($B9,'Fertilizer Calc Pricing'!$D$3:$AE$28,14,FALSE)</f>
        <v>-</v>
      </c>
      <c r="P9" s="2" t="str">
        <f>VLOOKUP($B9,'Fertilizer Calc Pricing'!$D$3:$AE$28,15,FALSE)</f>
        <v>-</v>
      </c>
      <c r="Q9" s="2" t="str">
        <f>VLOOKUP($B9,'Fertilizer Calc Pricing'!$D$3:$AE$28,16,FALSE)</f>
        <v>-</v>
      </c>
      <c r="R9" s="94"/>
      <c r="T9" s="4" t="str">
        <f>VLOOKUP($B9,'Fertilizer Calc Pricing'!$D$3:$AE$28,18,FALSE)</f>
        <v>-</v>
      </c>
      <c r="U9" s="4" t="str">
        <f>VLOOKUP($B9,'Fertilizer Calc Pricing'!$D$3:$AE$28,19,FALSE)</f>
        <v>-</v>
      </c>
      <c r="V9" s="4" t="str">
        <f>VLOOKUP($B9,'Fertilizer Calc Pricing'!$D$3:$AE$28,20,FALSE)</f>
        <v>-</v>
      </c>
      <c r="W9" s="4" t="str">
        <f>VLOOKUP($B9,'Fertilizer Calc Pricing'!$D$3:$AE$28,21,FALSE)</f>
        <v>-</v>
      </c>
      <c r="X9" s="4" t="str">
        <f>VLOOKUP($B9,'Fertilizer Calc Pricing'!$D$3:$AE$28,22,FALSE)</f>
        <v>-</v>
      </c>
      <c r="Y9" s="4" t="str">
        <f>VLOOKUP($B9,'Fertilizer Calc Pricing'!$D$3:$AE$28,23,FALSE)</f>
        <v>-</v>
      </c>
      <c r="Z9" s="4" t="str">
        <f>VLOOKUP($B9,'Fertilizer Calc Pricing'!$D$3:$AE$28,24,FALSE)</f>
        <v>-</v>
      </c>
      <c r="AA9" s="4" t="str">
        <f>VLOOKUP($B9,'Fertilizer Calc Pricing'!$D$3:$AE$28,25,FALSE)</f>
        <v>-</v>
      </c>
      <c r="AB9" s="4" t="str">
        <f>VLOOKUP($B9,'Fertilizer Calc Pricing'!$D$3:$AE$28,26,FALSE)</f>
        <v>-</v>
      </c>
      <c r="AC9" s="4" t="str">
        <f>VLOOKUP($B9,'Fertilizer Calc Pricing'!$D$3:$AE$28,27,FALSE)</f>
        <v>-</v>
      </c>
      <c r="AD9" s="4" t="str">
        <f>VLOOKUP($B9,'Fertilizer Calc Pricing'!$D$3:$AE$28,28,FALSE)</f>
        <v>-</v>
      </c>
    </row>
    <row r="10" spans="2:30" x14ac:dyDescent="0.25">
      <c r="B10" s="115" t="s">
        <v>129</v>
      </c>
      <c r="C10" s="17" t="str">
        <f>VLOOKUP(B10,'Fertilizer Calc Pricing'!D3:AE28,2,FALSE)</f>
        <v>-</v>
      </c>
      <c r="D10" s="17" t="str">
        <f>VLOOKUP(B10,'Fertilizer Calc Pricing'!D3:AE28,3,FALSE)</f>
        <v>-</v>
      </c>
      <c r="E10" s="111"/>
      <c r="F10" s="1">
        <f>VLOOKUP($B10,'Fertilizer Calc Pricing'!$D$3:$AE$28,4,FALSE)</f>
        <v>0</v>
      </c>
      <c r="G10" s="2" t="str">
        <f>VLOOKUP($B10,'Fertilizer Calc Pricing'!$D$3:$AE$28,6,FALSE)</f>
        <v>-</v>
      </c>
      <c r="H10" s="2" t="str">
        <f>VLOOKUP($B10,'Fertilizer Calc Pricing'!$D$3:$AE$28,7,FALSE)</f>
        <v>-</v>
      </c>
      <c r="I10" s="2" t="str">
        <f>VLOOKUP($B10,'Fertilizer Calc Pricing'!$D$3:$AE$28,8,FALSE)</f>
        <v>-</v>
      </c>
      <c r="J10" s="2" t="str">
        <f>VLOOKUP($B10,'Fertilizer Calc Pricing'!$D$3:$AE$28,9,FALSE)</f>
        <v>-</v>
      </c>
      <c r="K10" s="2" t="str">
        <f>VLOOKUP($B10,'Fertilizer Calc Pricing'!$D$3:$AE$28,10,FALSE)</f>
        <v>-</v>
      </c>
      <c r="L10" s="2" t="str">
        <f>VLOOKUP($B10,'Fertilizer Calc Pricing'!$D$3:$AE$28,11,FALSE)</f>
        <v>-</v>
      </c>
      <c r="M10" s="2" t="str">
        <f>VLOOKUP($B10,'Fertilizer Calc Pricing'!$D$3:$AE$28,12,FALSE)</f>
        <v>-</v>
      </c>
      <c r="N10" s="2" t="str">
        <f>VLOOKUP($B10,'Fertilizer Calc Pricing'!$D$3:$AE$28,13,FALSE)</f>
        <v>-</v>
      </c>
      <c r="O10" s="2" t="str">
        <f>VLOOKUP($B10,'Fertilizer Calc Pricing'!$D$3:$AE$28,14,FALSE)</f>
        <v>-</v>
      </c>
      <c r="P10" s="2" t="str">
        <f>VLOOKUP($B10,'Fertilizer Calc Pricing'!$D$3:$AE$28,15,FALSE)</f>
        <v>-</v>
      </c>
      <c r="Q10" s="2" t="str">
        <f>VLOOKUP($B10,'Fertilizer Calc Pricing'!$D$3:$AE$28,16,FALSE)</f>
        <v>-</v>
      </c>
      <c r="R10" s="94"/>
      <c r="T10" s="4" t="str">
        <f>VLOOKUP($B10,'Fertilizer Calc Pricing'!$D$3:$AE$28,18,FALSE)</f>
        <v>-</v>
      </c>
      <c r="U10" s="4" t="str">
        <f>VLOOKUP($B10,'Fertilizer Calc Pricing'!$D$3:$AE$28,19,FALSE)</f>
        <v>-</v>
      </c>
      <c r="V10" s="4" t="str">
        <f>VLOOKUP($B10,'Fertilizer Calc Pricing'!$D$3:$AE$28,20,FALSE)</f>
        <v>-</v>
      </c>
      <c r="W10" s="4" t="str">
        <f>VLOOKUP($B10,'Fertilizer Calc Pricing'!$D$3:$AE$28,21,FALSE)</f>
        <v>-</v>
      </c>
      <c r="X10" s="4" t="str">
        <f>VLOOKUP($B10,'Fertilizer Calc Pricing'!$D$3:$AE$28,22,FALSE)</f>
        <v>-</v>
      </c>
      <c r="Y10" s="4" t="str">
        <f>VLOOKUP($B10,'Fertilizer Calc Pricing'!$D$3:$AE$28,23,FALSE)</f>
        <v>-</v>
      </c>
      <c r="Z10" s="4" t="str">
        <f>VLOOKUP($B10,'Fertilizer Calc Pricing'!$D$3:$AE$28,24,FALSE)</f>
        <v>-</v>
      </c>
      <c r="AA10" s="4" t="str">
        <f>VLOOKUP($B10,'Fertilizer Calc Pricing'!$D$3:$AE$28,25,FALSE)</f>
        <v>-</v>
      </c>
      <c r="AB10" s="4" t="str">
        <f>VLOOKUP($B10,'Fertilizer Calc Pricing'!$D$3:$AE$28,26,FALSE)</f>
        <v>-</v>
      </c>
      <c r="AC10" s="4" t="str">
        <f>VLOOKUP($B10,'Fertilizer Calc Pricing'!$D$3:$AE$28,27,FALSE)</f>
        <v>-</v>
      </c>
      <c r="AD10" s="4" t="str">
        <f>VLOOKUP($B10,'Fertilizer Calc Pricing'!$D$3:$AE$28,28,FALSE)</f>
        <v>-</v>
      </c>
    </row>
    <row r="11" spans="2:30" x14ac:dyDescent="0.25">
      <c r="B11" s="115" t="s">
        <v>129</v>
      </c>
      <c r="C11" s="17" t="str">
        <f>VLOOKUP(B11,'Fertilizer Calc Pricing'!D3:AE28,2,FALSE)</f>
        <v>-</v>
      </c>
      <c r="D11" s="17" t="str">
        <f>VLOOKUP(B11,'Fertilizer Calc Pricing'!D3:AE28,3,FALSE)</f>
        <v>-</v>
      </c>
      <c r="E11" s="111"/>
      <c r="F11" s="1">
        <f>VLOOKUP($B11,'Fertilizer Calc Pricing'!$D$3:$AE$28,4,FALSE)</f>
        <v>0</v>
      </c>
      <c r="G11" s="2" t="str">
        <f>VLOOKUP($B11,'Fertilizer Calc Pricing'!$D$3:$AE$28,6,FALSE)</f>
        <v>-</v>
      </c>
      <c r="H11" s="2" t="str">
        <f>VLOOKUP($B11,'Fertilizer Calc Pricing'!$D$3:$AE$28,7,FALSE)</f>
        <v>-</v>
      </c>
      <c r="I11" s="2" t="str">
        <f>VLOOKUP($B11,'Fertilizer Calc Pricing'!$D$3:$AE$28,8,FALSE)</f>
        <v>-</v>
      </c>
      <c r="J11" s="2" t="str">
        <f>VLOOKUP($B11,'Fertilizer Calc Pricing'!$D$3:$AE$28,9,FALSE)</f>
        <v>-</v>
      </c>
      <c r="K11" s="2" t="str">
        <f>VLOOKUP($B11,'Fertilizer Calc Pricing'!$D$3:$AE$28,10,FALSE)</f>
        <v>-</v>
      </c>
      <c r="L11" s="2" t="str">
        <f>VLOOKUP($B11,'Fertilizer Calc Pricing'!$D$3:$AE$28,11,FALSE)</f>
        <v>-</v>
      </c>
      <c r="M11" s="2" t="str">
        <f>VLOOKUP($B11,'Fertilizer Calc Pricing'!$D$3:$AE$28,12,FALSE)</f>
        <v>-</v>
      </c>
      <c r="N11" s="2" t="str">
        <f>VLOOKUP($B11,'Fertilizer Calc Pricing'!$D$3:$AE$28,13,FALSE)</f>
        <v>-</v>
      </c>
      <c r="O11" s="2" t="str">
        <f>VLOOKUP($B11,'Fertilizer Calc Pricing'!$D$3:$AE$28,14,FALSE)</f>
        <v>-</v>
      </c>
      <c r="P11" s="2" t="str">
        <f>VLOOKUP($B11,'Fertilizer Calc Pricing'!$D$3:$AE$28,15,FALSE)</f>
        <v>-</v>
      </c>
      <c r="Q11" s="2" t="str">
        <f>VLOOKUP($B11,'Fertilizer Calc Pricing'!$D$3:$AE$28,16,FALSE)</f>
        <v>-</v>
      </c>
      <c r="R11" s="94"/>
      <c r="T11" s="4" t="str">
        <f>VLOOKUP($B11,'Fertilizer Calc Pricing'!$D$3:$AE$28,18,FALSE)</f>
        <v>-</v>
      </c>
      <c r="U11" s="4" t="str">
        <f>VLOOKUP($B11,'Fertilizer Calc Pricing'!$D$3:$AE$28,19,FALSE)</f>
        <v>-</v>
      </c>
      <c r="V11" s="4" t="str">
        <f>VLOOKUP($B11,'Fertilizer Calc Pricing'!$D$3:$AE$28,20,FALSE)</f>
        <v>-</v>
      </c>
      <c r="W11" s="4" t="str">
        <f>VLOOKUP($B11,'Fertilizer Calc Pricing'!$D$3:$AE$28,21,FALSE)</f>
        <v>-</v>
      </c>
      <c r="X11" s="4" t="str">
        <f>VLOOKUP($B11,'Fertilizer Calc Pricing'!$D$3:$AE$28,22,FALSE)</f>
        <v>-</v>
      </c>
      <c r="Y11" s="4" t="str">
        <f>VLOOKUP($B11,'Fertilizer Calc Pricing'!$D$3:$AE$28,23,FALSE)</f>
        <v>-</v>
      </c>
      <c r="Z11" s="4" t="str">
        <f>VLOOKUP($B11,'Fertilizer Calc Pricing'!$D$3:$AE$28,24,FALSE)</f>
        <v>-</v>
      </c>
      <c r="AA11" s="4" t="str">
        <f>VLOOKUP($B11,'Fertilizer Calc Pricing'!$D$3:$AE$28,25,FALSE)</f>
        <v>-</v>
      </c>
      <c r="AB11" s="4" t="str">
        <f>VLOOKUP($B11,'Fertilizer Calc Pricing'!$D$3:$AE$28,26,FALSE)</f>
        <v>-</v>
      </c>
      <c r="AC11" s="4" t="str">
        <f>VLOOKUP($B11,'Fertilizer Calc Pricing'!$D$3:$AE$28,27,FALSE)</f>
        <v>-</v>
      </c>
      <c r="AD11" s="4" t="str">
        <f>VLOOKUP($B11,'Fertilizer Calc Pricing'!$D$3:$AE$28,28,FALSE)</f>
        <v>-</v>
      </c>
    </row>
    <row r="12" spans="2:30" x14ac:dyDescent="0.25">
      <c r="B12" s="115" t="s">
        <v>129</v>
      </c>
      <c r="C12" s="17" t="str">
        <f>VLOOKUP(B12,'Fertilizer Calc Pricing'!D3:AE28,2,FALSE)</f>
        <v>-</v>
      </c>
      <c r="D12" s="17" t="str">
        <f>VLOOKUP(B12,'Fertilizer Calc Pricing'!D3:AE28,3,FALSE)</f>
        <v>-</v>
      </c>
      <c r="E12" s="111"/>
      <c r="F12" s="1">
        <f>VLOOKUP($B12,'Fertilizer Calc Pricing'!$D$3:$AE$28,4,FALSE)</f>
        <v>0</v>
      </c>
      <c r="G12" s="2" t="str">
        <f>VLOOKUP($B12,'Fertilizer Calc Pricing'!$D$3:$AE$28,6,FALSE)</f>
        <v>-</v>
      </c>
      <c r="H12" s="2" t="str">
        <f>VLOOKUP($B12,'Fertilizer Calc Pricing'!$D$3:$AE$28,7,FALSE)</f>
        <v>-</v>
      </c>
      <c r="I12" s="2" t="str">
        <f>VLOOKUP($B12,'Fertilizer Calc Pricing'!$D$3:$AE$28,8,FALSE)</f>
        <v>-</v>
      </c>
      <c r="J12" s="2" t="str">
        <f>VLOOKUP($B12,'Fertilizer Calc Pricing'!$D$3:$AE$28,9,FALSE)</f>
        <v>-</v>
      </c>
      <c r="K12" s="2" t="str">
        <f>VLOOKUP($B12,'Fertilizer Calc Pricing'!$D$3:$AE$28,10,FALSE)</f>
        <v>-</v>
      </c>
      <c r="L12" s="2" t="str">
        <f>VLOOKUP($B12,'Fertilizer Calc Pricing'!$D$3:$AE$28,11,FALSE)</f>
        <v>-</v>
      </c>
      <c r="M12" s="2" t="str">
        <f>VLOOKUP($B12,'Fertilizer Calc Pricing'!$D$3:$AE$28,12,FALSE)</f>
        <v>-</v>
      </c>
      <c r="N12" s="2" t="str">
        <f>VLOOKUP($B12,'Fertilizer Calc Pricing'!$D$3:$AE$28,13,FALSE)</f>
        <v>-</v>
      </c>
      <c r="O12" s="2" t="str">
        <f>VLOOKUP($B12,'Fertilizer Calc Pricing'!$D$3:$AE$28,14,FALSE)</f>
        <v>-</v>
      </c>
      <c r="P12" s="2" t="str">
        <f>VLOOKUP($B12,'Fertilizer Calc Pricing'!$D$3:$AE$28,15,FALSE)</f>
        <v>-</v>
      </c>
      <c r="Q12" s="2" t="str">
        <f>VLOOKUP($B12,'Fertilizer Calc Pricing'!$D$3:$AE$28,16,FALSE)</f>
        <v>-</v>
      </c>
      <c r="R12" s="94"/>
      <c r="T12" s="4" t="str">
        <f>VLOOKUP($B12,'Fertilizer Calc Pricing'!$D$3:$AE$28,18,FALSE)</f>
        <v>-</v>
      </c>
      <c r="U12" s="4" t="str">
        <f>VLOOKUP($B12,'Fertilizer Calc Pricing'!$D$3:$AE$28,19,FALSE)</f>
        <v>-</v>
      </c>
      <c r="V12" s="4" t="str">
        <f>VLOOKUP($B12,'Fertilizer Calc Pricing'!$D$3:$AE$28,20,FALSE)</f>
        <v>-</v>
      </c>
      <c r="W12" s="4" t="str">
        <f>VLOOKUP($B12,'Fertilizer Calc Pricing'!$D$3:$AE$28,21,FALSE)</f>
        <v>-</v>
      </c>
      <c r="X12" s="4" t="str">
        <f>VLOOKUP($B12,'Fertilizer Calc Pricing'!$D$3:$AE$28,22,FALSE)</f>
        <v>-</v>
      </c>
      <c r="Y12" s="4" t="str">
        <f>VLOOKUP($B12,'Fertilizer Calc Pricing'!$D$3:$AE$28,23,FALSE)</f>
        <v>-</v>
      </c>
      <c r="Z12" s="4" t="str">
        <f>VLOOKUP($B12,'Fertilizer Calc Pricing'!$D$3:$AE$28,24,FALSE)</f>
        <v>-</v>
      </c>
      <c r="AA12" s="4" t="str">
        <f>VLOOKUP($B12,'Fertilizer Calc Pricing'!$D$3:$AE$28,25,FALSE)</f>
        <v>-</v>
      </c>
      <c r="AB12" s="4" t="str">
        <f>VLOOKUP($B12,'Fertilizer Calc Pricing'!$D$3:$AE$28,26,FALSE)</f>
        <v>-</v>
      </c>
      <c r="AC12" s="4" t="str">
        <f>VLOOKUP($B12,'Fertilizer Calc Pricing'!$D$3:$AE$28,27,FALSE)</f>
        <v>-</v>
      </c>
      <c r="AD12" s="4" t="str">
        <f>VLOOKUP($B12,'Fertilizer Calc Pricing'!$D$3:$AE$28,28,FALSE)</f>
        <v>-</v>
      </c>
    </row>
    <row r="13" spans="2:30" x14ac:dyDescent="0.25">
      <c r="B13" s="22"/>
      <c r="C13" s="22"/>
      <c r="D13" s="112">
        <f>SUM(D3:D12)</f>
        <v>274.1875</v>
      </c>
      <c r="E13" s="65"/>
      <c r="T13" s="53">
        <f>SUM(T3:T12)</f>
        <v>150.83000000000001</v>
      </c>
      <c r="U13" s="53">
        <f t="shared" ref="U13:AD13" si="0">SUM(U3:U12)</f>
        <v>101.2</v>
      </c>
      <c r="V13" s="53">
        <f t="shared" si="0"/>
        <v>100.8</v>
      </c>
      <c r="W13" s="53">
        <f t="shared" si="0"/>
        <v>0</v>
      </c>
      <c r="X13" s="53">
        <f t="shared" si="0"/>
        <v>0</v>
      </c>
      <c r="Y13" s="53">
        <f t="shared" si="0"/>
        <v>20.399999999999999</v>
      </c>
      <c r="Z13" s="53">
        <f t="shared" si="0"/>
        <v>0</v>
      </c>
      <c r="AA13" s="53">
        <f t="shared" si="0"/>
        <v>0</v>
      </c>
      <c r="AB13" s="53">
        <f t="shared" si="0"/>
        <v>0</v>
      </c>
      <c r="AC13" s="53">
        <f t="shared" si="0"/>
        <v>0</v>
      </c>
      <c r="AD13" s="53">
        <f t="shared" si="0"/>
        <v>0</v>
      </c>
    </row>
    <row r="14" spans="2:30" x14ac:dyDescent="0.25">
      <c r="B14" s="22"/>
      <c r="C14" s="113"/>
      <c r="D14" s="22"/>
      <c r="E14" s="22"/>
      <c r="F14" s="154" t="s">
        <v>61</v>
      </c>
      <c r="G14" s="42"/>
      <c r="H14" s="42"/>
      <c r="I14" s="42"/>
      <c r="J14" s="41"/>
    </row>
    <row r="15" spans="2:30" x14ac:dyDescent="0.25">
      <c r="B15" s="40" t="s">
        <v>15</v>
      </c>
      <c r="C15" s="40" t="s">
        <v>136</v>
      </c>
      <c r="D15" s="91" t="s">
        <v>54</v>
      </c>
      <c r="E15" s="91" t="s">
        <v>135</v>
      </c>
      <c r="F15" s="156"/>
      <c r="G15" s="92" t="s">
        <v>18</v>
      </c>
      <c r="H15" s="93" t="s">
        <v>19</v>
      </c>
      <c r="I15" s="19" t="s">
        <v>20</v>
      </c>
      <c r="J15" s="19" t="s">
        <v>32</v>
      </c>
      <c r="K15" s="19" t="s">
        <v>31</v>
      </c>
      <c r="L15" s="19" t="s">
        <v>33</v>
      </c>
      <c r="M15" s="19" t="s">
        <v>36</v>
      </c>
      <c r="N15" s="19" t="s">
        <v>35</v>
      </c>
      <c r="O15" s="19" t="s">
        <v>34</v>
      </c>
      <c r="P15" s="19" t="s">
        <v>37</v>
      </c>
      <c r="Q15" s="19" t="s">
        <v>38</v>
      </c>
      <c r="R15" s="21"/>
      <c r="T15" s="9" t="s">
        <v>18</v>
      </c>
      <c r="U15" s="8" t="s">
        <v>19</v>
      </c>
      <c r="V15" s="7" t="s">
        <v>20</v>
      </c>
      <c r="W15" s="7" t="s">
        <v>32</v>
      </c>
      <c r="X15" s="7" t="s">
        <v>31</v>
      </c>
      <c r="Y15" s="7" t="s">
        <v>33</v>
      </c>
      <c r="Z15" s="7" t="s">
        <v>36</v>
      </c>
      <c r="AA15" s="7" t="s">
        <v>35</v>
      </c>
      <c r="AB15" s="7" t="s">
        <v>34</v>
      </c>
      <c r="AC15" s="7" t="s">
        <v>37</v>
      </c>
      <c r="AD15" s="7" t="s">
        <v>38</v>
      </c>
    </row>
    <row r="16" spans="2:30" x14ac:dyDescent="0.25">
      <c r="B16" s="116" t="s">
        <v>56</v>
      </c>
      <c r="C16" s="17">
        <f>VLOOKUP(B16,'Fertilizer Calc Pricing'!D32:AE57,2,FALSE)</f>
        <v>900</v>
      </c>
      <c r="D16" s="17">
        <f>VLOOKUP(B16,'Fertilizer Calc Pricing'!D32:AE57,3,FALSE)</f>
        <v>14.416875000000001</v>
      </c>
      <c r="E16" s="111">
        <v>2.75</v>
      </c>
      <c r="F16" s="1">
        <f>VLOOKUP(B16,'Fertilizer Calc Pricing'!D32:AE57,4,FALSE)</f>
        <v>2.75</v>
      </c>
      <c r="G16" s="2">
        <f>VLOOKUP($B16,'Fertilizer Calc Pricing'!$D$32:$AE$57,6,FALSE)</f>
        <v>0.1</v>
      </c>
      <c r="H16" s="2">
        <f>VLOOKUP($B16,'Fertilizer Calc Pricing'!$D$32:$AE$57,7,FALSE)</f>
        <v>0.34</v>
      </c>
      <c r="I16" s="2" t="str">
        <f>VLOOKUP($B16,'Fertilizer Calc Pricing'!$D$32:$AE$57,8,FALSE)</f>
        <v>-</v>
      </c>
      <c r="J16" s="2" t="str">
        <f>VLOOKUP($B16,'Fertilizer Calc Pricing'!$D$32:$AE$57,9,FALSE)</f>
        <v>-</v>
      </c>
      <c r="K16" s="2" t="str">
        <f>VLOOKUP($B16,'Fertilizer Calc Pricing'!$D$32:$AE$57,10,FALSE)</f>
        <v>-</v>
      </c>
      <c r="L16" s="2" t="str">
        <f>VLOOKUP($B16,'Fertilizer Calc Pricing'!$D$32:$AE$57,11,FALSE)</f>
        <v>-</v>
      </c>
      <c r="M16" s="2" t="str">
        <f>VLOOKUP($B16,'Fertilizer Calc Pricing'!$D$32:$AE$57,12,FALSE)</f>
        <v>-</v>
      </c>
      <c r="N16" s="2" t="str">
        <f>VLOOKUP($B16,'Fertilizer Calc Pricing'!$D$32:$AE$57,13,FALSE)</f>
        <v>-</v>
      </c>
      <c r="O16" s="2" t="str">
        <f>VLOOKUP($B16,'Fertilizer Calc Pricing'!$D$32:$AE$57,14,FALSE)</f>
        <v>-</v>
      </c>
      <c r="P16" s="2" t="str">
        <f>VLOOKUP($B16,'Fertilizer Calc Pricing'!$D$32:$AE$57,15,FALSE)</f>
        <v>-</v>
      </c>
      <c r="Q16" s="2" t="str">
        <f>VLOOKUP($B16,'Fertilizer Calc Pricing'!$D$32:$AE$57,16,FALSE)</f>
        <v>-</v>
      </c>
      <c r="R16" s="94"/>
      <c r="T16" s="4">
        <f>VLOOKUP($B16,'Fertilizer Calc Pricing'!$D$32:$AE$57,18,FALSE)</f>
        <v>3.2037500000000003</v>
      </c>
      <c r="U16" s="4">
        <f>VLOOKUP($B16,'Fertilizer Calc Pricing'!$D$32:$AE$57,19,FALSE)</f>
        <v>10.892749999999999</v>
      </c>
      <c r="V16" s="4" t="str">
        <f>VLOOKUP($B16,'Fertilizer Calc Pricing'!$D$32:$AE$57,20,FALSE)</f>
        <v>-</v>
      </c>
      <c r="W16" s="4" t="str">
        <f>VLOOKUP($B16,'Fertilizer Calc Pricing'!$D$32:$AE$57,21,FALSE)</f>
        <v>-</v>
      </c>
      <c r="X16" s="4" t="str">
        <f>VLOOKUP($B16,'Fertilizer Calc Pricing'!$D$32:$AE$57,22,FALSE)</f>
        <v>-</v>
      </c>
      <c r="Y16" s="4" t="str">
        <f>VLOOKUP($B16,'Fertilizer Calc Pricing'!$D$32:$AE$57,23,FALSE)</f>
        <v>-</v>
      </c>
      <c r="Z16" s="4" t="str">
        <f>VLOOKUP($B16,'Fertilizer Calc Pricing'!$D$32:$AE$57,24,FALSE)</f>
        <v>-</v>
      </c>
      <c r="AA16" s="4" t="str">
        <f>VLOOKUP($B16,'Fertilizer Calc Pricing'!$D$32:$AE$57,25,FALSE)</f>
        <v>-</v>
      </c>
      <c r="AB16" s="4" t="str">
        <f>VLOOKUP($B16,'Fertilizer Calc Pricing'!$D$32:$AE$57,26,FALSE)</f>
        <v>-</v>
      </c>
      <c r="AC16" s="4" t="str">
        <f>VLOOKUP($B16,'Fertilizer Calc Pricing'!$D$32:$AE$57,27,FALSE)</f>
        <v>-</v>
      </c>
      <c r="AD16" s="4" t="str">
        <f>VLOOKUP($B16,'Fertilizer Calc Pricing'!$D$32:$AE$57,28,FALSE)</f>
        <v>-</v>
      </c>
    </row>
    <row r="17" spans="2:30" x14ac:dyDescent="0.25">
      <c r="B17" s="116" t="s">
        <v>204</v>
      </c>
      <c r="C17" s="17">
        <f>VLOOKUP(B17,'Fertilizer Calc Pricing'!D32:AE57,2,FALSE)</f>
        <v>20.5</v>
      </c>
      <c r="D17" s="17">
        <f>VLOOKUP(B17,'Fertilizer Calc Pricing'!D32:AE57,3,FALSE)</f>
        <v>5.125</v>
      </c>
      <c r="E17" s="111">
        <v>1</v>
      </c>
      <c r="F17" s="1">
        <f>VLOOKUP(B17,'Fertilizer Calc Pricing'!D32:AE57,4,FALSE)</f>
        <v>1</v>
      </c>
      <c r="G17" s="2" t="str">
        <f>VLOOKUP($B17,'Fertilizer Calc Pricing'!$D$32:$AE$57,6,FALSE)</f>
        <v>-</v>
      </c>
      <c r="H17" s="2" t="str">
        <f>VLOOKUP($B17,'Fertilizer Calc Pricing'!$D$32:$AE$57,7,FALSE)</f>
        <v>-</v>
      </c>
      <c r="I17" s="2" t="str">
        <f>VLOOKUP($B17,'Fertilizer Calc Pricing'!$D$32:$AE$57,8,FALSE)</f>
        <v>-</v>
      </c>
      <c r="J17" s="2" t="str">
        <f>VLOOKUP($B17,'Fertilizer Calc Pricing'!$D$32:$AE$57,9,FALSE)</f>
        <v>-</v>
      </c>
      <c r="K17" s="2" t="str">
        <f>VLOOKUP($B17,'Fertilizer Calc Pricing'!$D$32:$AE$57,10,FALSE)</f>
        <v>-</v>
      </c>
      <c r="L17" s="2" t="str">
        <f>VLOOKUP($B17,'Fertilizer Calc Pricing'!$D$32:$AE$57,11,FALSE)</f>
        <v>-</v>
      </c>
      <c r="M17" s="2">
        <f>VLOOKUP($B17,'Fertilizer Calc Pricing'!$D$32:$AE$57,12,FALSE)</f>
        <v>0.04</v>
      </c>
      <c r="N17" s="2" t="str">
        <f>VLOOKUP($B17,'Fertilizer Calc Pricing'!$D$32:$AE$57,13,FALSE)</f>
        <v>-</v>
      </c>
      <c r="O17" s="2" t="str">
        <f>VLOOKUP($B17,'Fertilizer Calc Pricing'!$D$32:$AE$57,14,FALSE)</f>
        <v>-</v>
      </c>
      <c r="P17" s="2" t="str">
        <f>VLOOKUP($B17,'Fertilizer Calc Pricing'!$D$32:$AE$57,15,FALSE)</f>
        <v>-</v>
      </c>
      <c r="Q17" s="2" t="str">
        <f>VLOOKUP($B17,'Fertilizer Calc Pricing'!$D$32:$AE$57,16,FALSE)</f>
        <v>-</v>
      </c>
      <c r="R17" s="94"/>
      <c r="T17" s="4" t="str">
        <f>VLOOKUP($B17,'Fertilizer Calc Pricing'!$D$32:$AE$57,18,FALSE)</f>
        <v>-</v>
      </c>
      <c r="U17" s="4" t="str">
        <f>VLOOKUP($B17,'Fertilizer Calc Pricing'!$D$32:$AE$57,19,FALSE)</f>
        <v>-</v>
      </c>
      <c r="V17" s="4" t="str">
        <f>VLOOKUP($B17,'Fertilizer Calc Pricing'!$D$32:$AE$57,20,FALSE)</f>
        <v>-</v>
      </c>
      <c r="W17" s="4" t="str">
        <f>VLOOKUP($B17,'Fertilizer Calc Pricing'!$D$32:$AE$57,21,FALSE)</f>
        <v>-</v>
      </c>
      <c r="X17" s="4" t="str">
        <f>VLOOKUP($B17,'Fertilizer Calc Pricing'!$D$32:$AE$57,22,FALSE)</f>
        <v>-</v>
      </c>
      <c r="Y17" s="4" t="str">
        <f>VLOOKUP($B17,'Fertilizer Calc Pricing'!$D$32:$AE$57,23,FALSE)</f>
        <v>-</v>
      </c>
      <c r="Z17" s="4">
        <f>VLOOKUP($B17,'Fertilizer Calc Pricing'!$D$32:$AE$57,24,FALSE)</f>
        <v>0.109</v>
      </c>
      <c r="AA17" s="4" t="str">
        <f>VLOOKUP($B17,'Fertilizer Calc Pricing'!$D$32:$AE$57,25,FALSE)</f>
        <v>-</v>
      </c>
      <c r="AB17" s="4" t="str">
        <f>VLOOKUP($B17,'Fertilizer Calc Pricing'!$D$32:$AE$57,26,FALSE)</f>
        <v>-</v>
      </c>
      <c r="AC17" s="4" t="str">
        <f>VLOOKUP($B17,'Fertilizer Calc Pricing'!$D$32:$AE$57,27,FALSE)</f>
        <v>-</v>
      </c>
      <c r="AD17" s="4" t="str">
        <f>VLOOKUP($B17,'Fertilizer Calc Pricing'!$D$32:$AE$57,28,FALSE)</f>
        <v>-</v>
      </c>
    </row>
    <row r="18" spans="2:30" x14ac:dyDescent="0.25">
      <c r="B18" s="117" t="s">
        <v>129</v>
      </c>
      <c r="C18" s="17" t="str">
        <f>VLOOKUP(B18,'Fertilizer Calc Pricing'!D32:AE57,2,FALSE)</f>
        <v>-</v>
      </c>
      <c r="D18" s="17" t="str">
        <f>VLOOKUP(B18,'Fertilizer Calc Pricing'!D32:AE57,3,FALSE)</f>
        <v>-</v>
      </c>
      <c r="E18" s="111"/>
      <c r="F18" s="1">
        <f>VLOOKUP(B18,'Fertilizer Calc Pricing'!D32:AE57,4,FALSE)</f>
        <v>0</v>
      </c>
      <c r="G18" s="2" t="str">
        <f>VLOOKUP($B18,'Fertilizer Calc Pricing'!$D$32:$AE$57,6,FALSE)</f>
        <v>-</v>
      </c>
      <c r="H18" s="2" t="str">
        <f>VLOOKUP($B18,'Fertilizer Calc Pricing'!$D$32:$AE$57,7,FALSE)</f>
        <v>-</v>
      </c>
      <c r="I18" s="2" t="str">
        <f>VLOOKUP($B18,'Fertilizer Calc Pricing'!$D$32:$AE$57,8,FALSE)</f>
        <v>-</v>
      </c>
      <c r="J18" s="2" t="str">
        <f>VLOOKUP($B18,'Fertilizer Calc Pricing'!$D$32:$AE$57,9,FALSE)</f>
        <v>-</v>
      </c>
      <c r="K18" s="2" t="str">
        <f>VLOOKUP($B18,'Fertilizer Calc Pricing'!$D$32:$AE$57,10,FALSE)</f>
        <v>-</v>
      </c>
      <c r="L18" s="2" t="str">
        <f>VLOOKUP($B18,'Fertilizer Calc Pricing'!$D$32:$AE$57,11,FALSE)</f>
        <v>-</v>
      </c>
      <c r="M18" s="2" t="str">
        <f>VLOOKUP($B18,'Fertilizer Calc Pricing'!$D$32:$AE$57,12,FALSE)</f>
        <v>-</v>
      </c>
      <c r="N18" s="2" t="str">
        <f>VLOOKUP($B18,'Fertilizer Calc Pricing'!$D$32:$AE$57,13,FALSE)</f>
        <v>-</v>
      </c>
      <c r="O18" s="2" t="str">
        <f>VLOOKUP($B18,'Fertilizer Calc Pricing'!$D$32:$AE$57,14,FALSE)</f>
        <v>-</v>
      </c>
      <c r="P18" s="2" t="str">
        <f>VLOOKUP($B18,'Fertilizer Calc Pricing'!$D$32:$AE$57,15,FALSE)</f>
        <v>-</v>
      </c>
      <c r="Q18" s="2" t="str">
        <f>VLOOKUP($B18,'Fertilizer Calc Pricing'!$D$32:$AE$57,16,FALSE)</f>
        <v>-</v>
      </c>
      <c r="R18" s="94"/>
      <c r="T18" s="4" t="str">
        <f>VLOOKUP($B18,'Fertilizer Calc Pricing'!$D$32:$AE$57,18,FALSE)</f>
        <v>-</v>
      </c>
      <c r="U18" s="4" t="str">
        <f>VLOOKUP($B18,'Fertilizer Calc Pricing'!$D$32:$AE$57,19,FALSE)</f>
        <v>-</v>
      </c>
      <c r="V18" s="4" t="str">
        <f>VLOOKUP($B18,'Fertilizer Calc Pricing'!$D$32:$AE$57,20,FALSE)</f>
        <v>-</v>
      </c>
      <c r="W18" s="4" t="str">
        <f>VLOOKUP($B18,'Fertilizer Calc Pricing'!$D$32:$AE$57,21,FALSE)</f>
        <v>-</v>
      </c>
      <c r="X18" s="4" t="str">
        <f>VLOOKUP($B18,'Fertilizer Calc Pricing'!$D$32:$AE$57,22,FALSE)</f>
        <v>-</v>
      </c>
      <c r="Y18" s="4" t="str">
        <f>VLOOKUP($B18,'Fertilizer Calc Pricing'!$D$32:$AE$57,23,FALSE)</f>
        <v>-</v>
      </c>
      <c r="Z18" s="4" t="str">
        <f>VLOOKUP($B18,'Fertilizer Calc Pricing'!$D$32:$AE$57,24,FALSE)</f>
        <v>-</v>
      </c>
      <c r="AA18" s="4" t="str">
        <f>VLOOKUP($B18,'Fertilizer Calc Pricing'!$D$32:$AE$57,25,FALSE)</f>
        <v>-</v>
      </c>
      <c r="AB18" s="4" t="str">
        <f>VLOOKUP($B18,'Fertilizer Calc Pricing'!$D$32:$AE$57,26,FALSE)</f>
        <v>-</v>
      </c>
      <c r="AC18" s="4" t="str">
        <f>VLOOKUP($B18,'Fertilizer Calc Pricing'!$D$32:$AE$57,27,FALSE)</f>
        <v>-</v>
      </c>
      <c r="AD18" s="4" t="str">
        <f>VLOOKUP($B18,'Fertilizer Calc Pricing'!$D$32:$AE$57,28,FALSE)</f>
        <v>-</v>
      </c>
    </row>
    <row r="19" spans="2:30" x14ac:dyDescent="0.25">
      <c r="B19" s="117" t="s">
        <v>129</v>
      </c>
      <c r="C19" s="17" t="str">
        <f>VLOOKUP(B19,'Fertilizer Calc Pricing'!D32:AE57,2,FALSE)</f>
        <v>-</v>
      </c>
      <c r="D19" s="17" t="str">
        <f>VLOOKUP(B19,'Fertilizer Calc Pricing'!D32:AE57,3,FALSE)</f>
        <v>-</v>
      </c>
      <c r="E19" s="111"/>
      <c r="F19" s="1">
        <f>VLOOKUP(B19,'Fertilizer Calc Pricing'!D32:AE57,4,FALSE)</f>
        <v>0</v>
      </c>
      <c r="G19" s="2" t="str">
        <f>VLOOKUP($B19,'Fertilizer Calc Pricing'!$D$32:$AE$57,6,FALSE)</f>
        <v>-</v>
      </c>
      <c r="H19" s="2" t="str">
        <f>VLOOKUP($B19,'Fertilizer Calc Pricing'!$D$32:$AE$57,7,FALSE)</f>
        <v>-</v>
      </c>
      <c r="I19" s="2" t="str">
        <f>VLOOKUP($B19,'Fertilizer Calc Pricing'!$D$32:$AE$57,8,FALSE)</f>
        <v>-</v>
      </c>
      <c r="J19" s="2" t="str">
        <f>VLOOKUP($B19,'Fertilizer Calc Pricing'!$D$32:$AE$57,9,FALSE)</f>
        <v>-</v>
      </c>
      <c r="K19" s="2" t="str">
        <f>VLOOKUP($B19,'Fertilizer Calc Pricing'!$D$32:$AE$57,10,FALSE)</f>
        <v>-</v>
      </c>
      <c r="L19" s="2" t="str">
        <f>VLOOKUP($B19,'Fertilizer Calc Pricing'!$D$32:$AE$57,11,FALSE)</f>
        <v>-</v>
      </c>
      <c r="M19" s="2" t="str">
        <f>VLOOKUP($B19,'Fertilizer Calc Pricing'!$D$32:$AE$57,12,FALSE)</f>
        <v>-</v>
      </c>
      <c r="N19" s="2" t="str">
        <f>VLOOKUP($B19,'Fertilizer Calc Pricing'!$D$32:$AE$57,13,FALSE)</f>
        <v>-</v>
      </c>
      <c r="O19" s="2" t="str">
        <f>VLOOKUP($B19,'Fertilizer Calc Pricing'!$D$32:$AE$57,14,FALSE)</f>
        <v>-</v>
      </c>
      <c r="P19" s="2" t="str">
        <f>VLOOKUP($B19,'Fertilizer Calc Pricing'!$D$32:$AE$57,15,FALSE)</f>
        <v>-</v>
      </c>
      <c r="Q19" s="2" t="str">
        <f>VLOOKUP($B19,'Fertilizer Calc Pricing'!$D$32:$AE$57,16,FALSE)</f>
        <v>-</v>
      </c>
      <c r="R19" s="94"/>
      <c r="T19" s="4" t="str">
        <f>VLOOKUP($B19,'Fertilizer Calc Pricing'!$D$32:$AE$57,18,FALSE)</f>
        <v>-</v>
      </c>
      <c r="U19" s="4" t="str">
        <f>VLOOKUP($B19,'Fertilizer Calc Pricing'!$D$32:$AE$57,19,FALSE)</f>
        <v>-</v>
      </c>
      <c r="V19" s="4" t="str">
        <f>VLOOKUP($B19,'Fertilizer Calc Pricing'!$D$32:$AE$57,20,FALSE)</f>
        <v>-</v>
      </c>
      <c r="W19" s="4" t="str">
        <f>VLOOKUP($B19,'Fertilizer Calc Pricing'!$D$32:$AE$57,21,FALSE)</f>
        <v>-</v>
      </c>
      <c r="X19" s="4" t="str">
        <f>VLOOKUP($B19,'Fertilizer Calc Pricing'!$D$32:$AE$57,22,FALSE)</f>
        <v>-</v>
      </c>
      <c r="Y19" s="4" t="str">
        <f>VLOOKUP($B19,'Fertilizer Calc Pricing'!$D$32:$AE$57,23,FALSE)</f>
        <v>-</v>
      </c>
      <c r="Z19" s="4" t="str">
        <f>VLOOKUP($B19,'Fertilizer Calc Pricing'!$D$32:$AE$57,24,FALSE)</f>
        <v>-</v>
      </c>
      <c r="AA19" s="4" t="str">
        <f>VLOOKUP($B19,'Fertilizer Calc Pricing'!$D$32:$AE$57,25,FALSE)</f>
        <v>-</v>
      </c>
      <c r="AB19" s="4" t="str">
        <f>VLOOKUP($B19,'Fertilizer Calc Pricing'!$D$32:$AE$57,26,FALSE)</f>
        <v>-</v>
      </c>
      <c r="AC19" s="4" t="str">
        <f>VLOOKUP($B19,'Fertilizer Calc Pricing'!$D$32:$AE$57,27,FALSE)</f>
        <v>-</v>
      </c>
      <c r="AD19" s="4" t="str">
        <f>VLOOKUP($B19,'Fertilizer Calc Pricing'!$D$32:$AE$57,28,FALSE)</f>
        <v>-</v>
      </c>
    </row>
    <row r="20" spans="2:30" x14ac:dyDescent="0.25">
      <c r="B20" s="117" t="s">
        <v>129</v>
      </c>
      <c r="C20" s="17" t="str">
        <f>VLOOKUP(B20,'Fertilizer Calc Pricing'!D32:AE57,2,FALSE)</f>
        <v>-</v>
      </c>
      <c r="D20" s="17" t="str">
        <f>VLOOKUP(B20,'Fertilizer Calc Pricing'!D32:AE57,3,FALSE)</f>
        <v>-</v>
      </c>
      <c r="E20" s="111"/>
      <c r="F20" s="1">
        <f>VLOOKUP(B20,'Fertilizer Calc Pricing'!D32:AE57,4,FALSE)</f>
        <v>0</v>
      </c>
      <c r="G20" s="2" t="str">
        <f>VLOOKUP($B20,'Fertilizer Calc Pricing'!$D$32:$AE$57,6,FALSE)</f>
        <v>-</v>
      </c>
      <c r="H20" s="2" t="str">
        <f>VLOOKUP($B20,'Fertilizer Calc Pricing'!$D$32:$AE$57,7,FALSE)</f>
        <v>-</v>
      </c>
      <c r="I20" s="2" t="str">
        <f>VLOOKUP($B20,'Fertilizer Calc Pricing'!$D$32:$AE$57,8,FALSE)</f>
        <v>-</v>
      </c>
      <c r="J20" s="2" t="str">
        <f>VLOOKUP($B20,'Fertilizer Calc Pricing'!$D$32:$AE$57,9,FALSE)</f>
        <v>-</v>
      </c>
      <c r="K20" s="2" t="str">
        <f>VLOOKUP($B20,'Fertilizer Calc Pricing'!$D$32:$AE$57,10,FALSE)</f>
        <v>-</v>
      </c>
      <c r="L20" s="2" t="str">
        <f>VLOOKUP($B20,'Fertilizer Calc Pricing'!$D$32:$AE$57,11,FALSE)</f>
        <v>-</v>
      </c>
      <c r="M20" s="2" t="str">
        <f>VLOOKUP($B20,'Fertilizer Calc Pricing'!$D$32:$AE$57,12,FALSE)</f>
        <v>-</v>
      </c>
      <c r="N20" s="2" t="str">
        <f>VLOOKUP($B20,'Fertilizer Calc Pricing'!$D$32:$AE$57,13,FALSE)</f>
        <v>-</v>
      </c>
      <c r="O20" s="2" t="str">
        <f>VLOOKUP($B20,'Fertilizer Calc Pricing'!$D$32:$AE$57,14,FALSE)</f>
        <v>-</v>
      </c>
      <c r="P20" s="2" t="str">
        <f>VLOOKUP($B20,'Fertilizer Calc Pricing'!$D$32:$AE$57,15,FALSE)</f>
        <v>-</v>
      </c>
      <c r="Q20" s="2" t="str">
        <f>VLOOKUP($B20,'Fertilizer Calc Pricing'!$D$32:$AE$57,16,FALSE)</f>
        <v>-</v>
      </c>
      <c r="R20" s="94"/>
      <c r="T20" s="4" t="str">
        <f>VLOOKUP($B20,'Fertilizer Calc Pricing'!$D$32:$AE$57,18,FALSE)</f>
        <v>-</v>
      </c>
      <c r="U20" s="4" t="str">
        <f>VLOOKUP($B20,'Fertilizer Calc Pricing'!$D$32:$AE$57,19,FALSE)</f>
        <v>-</v>
      </c>
      <c r="V20" s="4" t="str">
        <f>VLOOKUP($B20,'Fertilizer Calc Pricing'!$D$32:$AE$57,20,FALSE)</f>
        <v>-</v>
      </c>
      <c r="W20" s="4" t="str">
        <f>VLOOKUP($B20,'Fertilizer Calc Pricing'!$D$32:$AE$57,21,FALSE)</f>
        <v>-</v>
      </c>
      <c r="X20" s="4" t="str">
        <f>VLOOKUP($B20,'Fertilizer Calc Pricing'!$D$32:$AE$57,22,FALSE)</f>
        <v>-</v>
      </c>
      <c r="Y20" s="4" t="str">
        <f>VLOOKUP($B20,'Fertilizer Calc Pricing'!$D$32:$AE$57,23,FALSE)</f>
        <v>-</v>
      </c>
      <c r="Z20" s="4" t="str">
        <f>VLOOKUP($B20,'Fertilizer Calc Pricing'!$D$32:$AE$57,24,FALSE)</f>
        <v>-</v>
      </c>
      <c r="AA20" s="4" t="str">
        <f>VLOOKUP($B20,'Fertilizer Calc Pricing'!$D$32:$AE$57,25,FALSE)</f>
        <v>-</v>
      </c>
      <c r="AB20" s="4" t="str">
        <f>VLOOKUP($B20,'Fertilizer Calc Pricing'!$D$32:$AE$57,26,FALSE)</f>
        <v>-</v>
      </c>
      <c r="AC20" s="4" t="str">
        <f>VLOOKUP($B20,'Fertilizer Calc Pricing'!$D$32:$AE$57,27,FALSE)</f>
        <v>-</v>
      </c>
      <c r="AD20" s="4" t="str">
        <f>VLOOKUP($B20,'Fertilizer Calc Pricing'!$D$32:$AE$57,28,FALSE)</f>
        <v>-</v>
      </c>
    </row>
    <row r="21" spans="2:30" x14ac:dyDescent="0.25">
      <c r="B21" s="117" t="s">
        <v>129</v>
      </c>
      <c r="C21" s="17" t="str">
        <f>VLOOKUP(B21,'Fertilizer Calc Pricing'!D32:AE57,2,FALSE)</f>
        <v>-</v>
      </c>
      <c r="D21" s="17" t="str">
        <f>VLOOKUP(B21,'Fertilizer Calc Pricing'!D32:AE57,3,FALSE)</f>
        <v>-</v>
      </c>
      <c r="E21" s="111"/>
      <c r="F21" s="1">
        <f>VLOOKUP(B21,'Fertilizer Calc Pricing'!D32:AE57,4,FALSE)</f>
        <v>0</v>
      </c>
      <c r="G21" s="2" t="str">
        <f>VLOOKUP($B21,'Fertilizer Calc Pricing'!$D$32:$AE$57,6,FALSE)</f>
        <v>-</v>
      </c>
      <c r="H21" s="2" t="str">
        <f>VLOOKUP($B21,'Fertilizer Calc Pricing'!$D$32:$AE$57,7,FALSE)</f>
        <v>-</v>
      </c>
      <c r="I21" s="2" t="str">
        <f>VLOOKUP($B21,'Fertilizer Calc Pricing'!$D$32:$AE$57,8,FALSE)</f>
        <v>-</v>
      </c>
      <c r="J21" s="2" t="str">
        <f>VLOOKUP($B21,'Fertilizer Calc Pricing'!$D$32:$AE$57,9,FALSE)</f>
        <v>-</v>
      </c>
      <c r="K21" s="2" t="str">
        <f>VLOOKUP($B21,'Fertilizer Calc Pricing'!$D$32:$AE$57,10,FALSE)</f>
        <v>-</v>
      </c>
      <c r="L21" s="2" t="str">
        <f>VLOOKUP($B21,'Fertilizer Calc Pricing'!$D$32:$AE$57,11,FALSE)</f>
        <v>-</v>
      </c>
      <c r="M21" s="2" t="str">
        <f>VLOOKUP($B21,'Fertilizer Calc Pricing'!$D$32:$AE$57,12,FALSE)</f>
        <v>-</v>
      </c>
      <c r="N21" s="2" t="str">
        <f>VLOOKUP($B21,'Fertilizer Calc Pricing'!$D$32:$AE$57,13,FALSE)</f>
        <v>-</v>
      </c>
      <c r="O21" s="2" t="str">
        <f>VLOOKUP($B21,'Fertilizer Calc Pricing'!$D$32:$AE$57,14,FALSE)</f>
        <v>-</v>
      </c>
      <c r="P21" s="2" t="str">
        <f>VLOOKUP($B21,'Fertilizer Calc Pricing'!$D$32:$AE$57,15,FALSE)</f>
        <v>-</v>
      </c>
      <c r="Q21" s="2" t="str">
        <f>VLOOKUP($B21,'Fertilizer Calc Pricing'!$D$32:$AE$57,16,FALSE)</f>
        <v>-</v>
      </c>
      <c r="R21" s="94"/>
      <c r="T21" s="4" t="str">
        <f>VLOOKUP($B21,'Fertilizer Calc Pricing'!$D$32:$AE$57,18,FALSE)</f>
        <v>-</v>
      </c>
      <c r="U21" s="4" t="str">
        <f>VLOOKUP($B21,'Fertilizer Calc Pricing'!$D$32:$AE$57,19,FALSE)</f>
        <v>-</v>
      </c>
      <c r="V21" s="4" t="str">
        <f>VLOOKUP($B21,'Fertilizer Calc Pricing'!$D$32:$AE$57,20,FALSE)</f>
        <v>-</v>
      </c>
      <c r="W21" s="4" t="str">
        <f>VLOOKUP($B21,'Fertilizer Calc Pricing'!$D$32:$AE$57,21,FALSE)</f>
        <v>-</v>
      </c>
      <c r="X21" s="4" t="str">
        <f>VLOOKUP($B21,'Fertilizer Calc Pricing'!$D$32:$AE$57,22,FALSE)</f>
        <v>-</v>
      </c>
      <c r="Y21" s="4" t="str">
        <f>VLOOKUP($B21,'Fertilizer Calc Pricing'!$D$32:$AE$57,23,FALSE)</f>
        <v>-</v>
      </c>
      <c r="Z21" s="4" t="str">
        <f>VLOOKUP($B21,'Fertilizer Calc Pricing'!$D$32:$AE$57,24,FALSE)</f>
        <v>-</v>
      </c>
      <c r="AA21" s="4" t="str">
        <f>VLOOKUP($B21,'Fertilizer Calc Pricing'!$D$32:$AE$57,25,FALSE)</f>
        <v>-</v>
      </c>
      <c r="AB21" s="4" t="str">
        <f>VLOOKUP($B21,'Fertilizer Calc Pricing'!$D$32:$AE$57,26,FALSE)</f>
        <v>-</v>
      </c>
      <c r="AC21" s="4" t="str">
        <f>VLOOKUP($B21,'Fertilizer Calc Pricing'!$D$32:$AE$57,27,FALSE)</f>
        <v>-</v>
      </c>
      <c r="AD21" s="4" t="str">
        <f>VLOOKUP($B21,'Fertilizer Calc Pricing'!$D$32:$AE$57,28,FALSE)</f>
        <v>-</v>
      </c>
    </row>
    <row r="22" spans="2:30" x14ac:dyDescent="0.25">
      <c r="B22" s="114" t="s">
        <v>132</v>
      </c>
      <c r="C22" s="22"/>
      <c r="D22" s="112">
        <f>SUM(D16:D21)</f>
        <v>19.541875000000001</v>
      </c>
      <c r="E22" s="65"/>
      <c r="T22" s="53">
        <f>SUM(T16:T21)</f>
        <v>3.2037500000000003</v>
      </c>
      <c r="U22" s="53">
        <f t="shared" ref="U22:AD22" si="1">SUM(U16:U21)</f>
        <v>10.892749999999999</v>
      </c>
      <c r="V22" s="53">
        <f t="shared" si="1"/>
        <v>0</v>
      </c>
      <c r="W22" s="53">
        <f t="shared" si="1"/>
        <v>0</v>
      </c>
      <c r="X22" s="53">
        <f t="shared" si="1"/>
        <v>0</v>
      </c>
      <c r="Y22" s="53">
        <f t="shared" si="1"/>
        <v>0</v>
      </c>
      <c r="Z22" s="53">
        <f t="shared" si="1"/>
        <v>0.109</v>
      </c>
      <c r="AA22" s="53">
        <f t="shared" si="1"/>
        <v>0</v>
      </c>
      <c r="AB22" s="53">
        <f t="shared" si="1"/>
        <v>0</v>
      </c>
      <c r="AC22" s="53">
        <f t="shared" si="1"/>
        <v>0</v>
      </c>
      <c r="AD22" s="53">
        <f t="shared" si="1"/>
        <v>0</v>
      </c>
    </row>
    <row r="23" spans="2:30" x14ac:dyDescent="0.25">
      <c r="S23" t="s">
        <v>131</v>
      </c>
    </row>
    <row r="24" spans="2:30" x14ac:dyDescent="0.25">
      <c r="B24" s="7" t="s">
        <v>105</v>
      </c>
      <c r="C24" s="142"/>
      <c r="D24" s="153" t="s">
        <v>106</v>
      </c>
      <c r="E24" s="144" t="s">
        <v>105</v>
      </c>
      <c r="G24" s="9" t="s">
        <v>18</v>
      </c>
      <c r="H24" s="8" t="s">
        <v>19</v>
      </c>
      <c r="I24" s="7" t="s">
        <v>20</v>
      </c>
      <c r="J24" s="7" t="s">
        <v>32</v>
      </c>
      <c r="K24" s="7" t="s">
        <v>31</v>
      </c>
      <c r="L24" s="7" t="s">
        <v>33</v>
      </c>
      <c r="M24" s="7" t="s">
        <v>36</v>
      </c>
      <c r="N24" s="7" t="s">
        <v>35</v>
      </c>
      <c r="O24" s="7" t="s">
        <v>34</v>
      </c>
      <c r="P24" s="7" t="s">
        <v>37</v>
      </c>
      <c r="Q24" s="7" t="s">
        <v>38</v>
      </c>
      <c r="R24" s="96"/>
      <c r="S24" s="10">
        <f>SUM(D13+D22)</f>
        <v>293.729375</v>
      </c>
      <c r="T24" s="9" t="s">
        <v>18</v>
      </c>
      <c r="U24" s="8" t="s">
        <v>19</v>
      </c>
      <c r="V24" s="7" t="s">
        <v>20</v>
      </c>
      <c r="W24" s="7" t="s">
        <v>32</v>
      </c>
      <c r="X24" s="7" t="s">
        <v>31</v>
      </c>
      <c r="Y24" s="7" t="s">
        <v>33</v>
      </c>
      <c r="Z24" s="7" t="s">
        <v>36</v>
      </c>
      <c r="AA24" s="7" t="s">
        <v>35</v>
      </c>
      <c r="AB24" s="7" t="s">
        <v>34</v>
      </c>
      <c r="AC24" s="7" t="s">
        <v>37</v>
      </c>
      <c r="AD24" s="7" t="s">
        <v>38</v>
      </c>
    </row>
    <row r="25" spans="2:30" x14ac:dyDescent="0.25">
      <c r="B25" s="7" t="s">
        <v>107</v>
      </c>
      <c r="C25" s="143">
        <v>220</v>
      </c>
      <c r="D25" s="153"/>
      <c r="E25" s="145" t="s">
        <v>108</v>
      </c>
      <c r="G25" s="56">
        <f>SUM(C25*0.67)</f>
        <v>147.4</v>
      </c>
      <c r="H25" s="149">
        <f>SUM(C25*0.35)</f>
        <v>77</v>
      </c>
      <c r="I25" s="149">
        <f>SUM(C25*0.25)</f>
        <v>55</v>
      </c>
      <c r="J25" s="29">
        <f>SUM(C25*0.03335)</f>
        <v>7.3369999999999997</v>
      </c>
      <c r="K25" s="29">
        <f>SUM(C25*0.0135)</f>
        <v>2.9699999999999998</v>
      </c>
      <c r="L25" s="150">
        <f>SUM(C25*0.08)</f>
        <v>17.600000000000001</v>
      </c>
      <c r="M25" s="150">
        <f>SUM(C25*0.00105)</f>
        <v>0.23099999999999998</v>
      </c>
      <c r="N25" s="29">
        <f>SUM(C25*0.00075)</f>
        <v>0.16500000000000001</v>
      </c>
      <c r="O25" s="29">
        <f>SUM(C25*0.00155)</f>
        <v>0.34099999999999997</v>
      </c>
      <c r="P25" s="29">
        <f>SUM(C25*0.00045)</f>
        <v>9.8999999999999991E-2</v>
      </c>
      <c r="Q25" s="29">
        <f>SUM(C25*0.0024)</f>
        <v>0.52799999999999991</v>
      </c>
      <c r="R25" s="97"/>
      <c r="S25" s="101" t="s">
        <v>46</v>
      </c>
      <c r="T25" s="4">
        <f>T13+T22</f>
        <v>154.03375000000003</v>
      </c>
      <c r="U25" s="4">
        <f>U13+U22</f>
        <v>112.09275</v>
      </c>
      <c r="V25" s="4">
        <f t="shared" ref="V25:AD25" si="2">V13+V22</f>
        <v>100.8</v>
      </c>
      <c r="W25" s="4">
        <f t="shared" si="2"/>
        <v>0</v>
      </c>
      <c r="X25" s="4">
        <f t="shared" si="2"/>
        <v>0</v>
      </c>
      <c r="Y25" s="4">
        <f t="shared" si="2"/>
        <v>20.399999999999999</v>
      </c>
      <c r="Z25" s="4">
        <f t="shared" si="2"/>
        <v>0.109</v>
      </c>
      <c r="AA25" s="4">
        <f t="shared" si="2"/>
        <v>0</v>
      </c>
      <c r="AB25" s="4">
        <f t="shared" si="2"/>
        <v>0</v>
      </c>
      <c r="AC25" s="4">
        <f t="shared" si="2"/>
        <v>0</v>
      </c>
      <c r="AD25" s="4">
        <f t="shared" si="2"/>
        <v>0</v>
      </c>
    </row>
    <row r="26" spans="2:30" x14ac:dyDescent="0.25">
      <c r="C26" s="16"/>
      <c r="D26" s="153"/>
      <c r="E26" s="145" t="s">
        <v>109</v>
      </c>
      <c r="G26" s="56">
        <f>SUM(C25*0.45)</f>
        <v>99</v>
      </c>
      <c r="H26" s="56">
        <f>SUM(C25*0.16)</f>
        <v>35.200000000000003</v>
      </c>
      <c r="I26" s="56">
        <f>SUM(C25*1.1)</f>
        <v>242.00000000000003</v>
      </c>
      <c r="J26" s="29">
        <f>SUM(C25*0.205)</f>
        <v>45.099999999999994</v>
      </c>
      <c r="K26" s="29">
        <f>SUM(C25*0.13)</f>
        <v>28.6</v>
      </c>
      <c r="L26" s="29">
        <f>SUM(C25*0.07)</f>
        <v>15.400000000000002</v>
      </c>
      <c r="M26" s="29">
        <f>SUM(C25*0.0015)</f>
        <v>0.33</v>
      </c>
      <c r="N26" s="29">
        <f>SUM(C25*0.0075)</f>
        <v>1.65</v>
      </c>
      <c r="O26" s="29">
        <f>SUM(C25*0.0025)</f>
        <v>0.55000000000000004</v>
      </c>
      <c r="P26" s="29">
        <f>SUM(C25*0.00025)</f>
        <v>5.5E-2</v>
      </c>
      <c r="Q26" s="29">
        <f>SUM(C25*0.00025)</f>
        <v>5.5E-2</v>
      </c>
      <c r="R26" s="97"/>
      <c r="S26" s="101" t="s">
        <v>133</v>
      </c>
      <c r="T26" s="6">
        <v>0</v>
      </c>
      <c r="U26" s="1"/>
      <c r="V26" s="1"/>
      <c r="W26" s="1"/>
      <c r="X26" s="1"/>
      <c r="Y26" s="1"/>
      <c r="Z26" s="1"/>
      <c r="AA26" s="1"/>
      <c r="AB26" s="1"/>
      <c r="AC26" s="1"/>
      <c r="AD26" s="1"/>
    </row>
    <row r="27" spans="2:30" x14ac:dyDescent="0.25">
      <c r="C27" s="16"/>
      <c r="D27" s="153"/>
      <c r="E27" s="145" t="s">
        <v>110</v>
      </c>
      <c r="G27" s="149">
        <f>SUM(G25:G26)</f>
        <v>246.4</v>
      </c>
      <c r="H27" s="57">
        <f>SUM(H25:H26)</f>
        <v>112.2</v>
      </c>
      <c r="I27" s="57">
        <f>SUM(I25:I26)</f>
        <v>297</v>
      </c>
      <c r="J27" s="58">
        <f>SUM(J25:J26)</f>
        <v>52.436999999999998</v>
      </c>
      <c r="K27" s="58">
        <f>SUM(K25:K26)</f>
        <v>31.57</v>
      </c>
      <c r="L27" s="58">
        <f t="shared" ref="L27:Q27" si="3">SUM(L25:L26)</f>
        <v>33</v>
      </c>
      <c r="M27" s="58">
        <f t="shared" si="3"/>
        <v>0.56099999999999994</v>
      </c>
      <c r="N27" s="58">
        <f t="shared" si="3"/>
        <v>1.8149999999999999</v>
      </c>
      <c r="O27" s="58">
        <f t="shared" si="3"/>
        <v>0.89100000000000001</v>
      </c>
      <c r="P27" s="58">
        <f t="shared" si="3"/>
        <v>0.154</v>
      </c>
      <c r="Q27" s="58">
        <f t="shared" si="3"/>
        <v>0.58299999999999996</v>
      </c>
      <c r="R27" s="98" t="s">
        <v>45</v>
      </c>
      <c r="S27" s="6">
        <v>4</v>
      </c>
      <c r="T27" s="1">
        <f>SUM(S27*20)</f>
        <v>80</v>
      </c>
      <c r="U27" s="1">
        <f>SUM(S27*4)</f>
        <v>16</v>
      </c>
      <c r="V27" s="1">
        <f>SUM(S27*0)</f>
        <v>0</v>
      </c>
      <c r="W27" s="1"/>
      <c r="X27" s="1"/>
      <c r="Y27" s="1">
        <f>SUM(S27*2)</f>
        <v>8</v>
      </c>
      <c r="Z27" s="1"/>
      <c r="AA27" s="1"/>
      <c r="AB27" s="1"/>
      <c r="AC27" s="1"/>
      <c r="AD27" s="1"/>
    </row>
    <row r="28" spans="2:30" x14ac:dyDescent="0.25">
      <c r="C28" s="16"/>
      <c r="D28" s="153"/>
      <c r="E28" s="118"/>
      <c r="F28" s="59"/>
      <c r="G28" s="60"/>
      <c r="H28" s="59"/>
      <c r="I28" s="59"/>
      <c r="J28" s="59"/>
      <c r="K28" s="60"/>
      <c r="L28" s="59"/>
      <c r="M28" s="59"/>
      <c r="N28" s="59"/>
      <c r="O28" s="60"/>
      <c r="P28" s="59"/>
      <c r="Q28" s="59"/>
      <c r="R28" s="99"/>
      <c r="S28" s="152" t="s">
        <v>44</v>
      </c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</row>
    <row r="29" spans="2:30" x14ac:dyDescent="0.25">
      <c r="B29" s="7" t="s">
        <v>111</v>
      </c>
      <c r="C29" s="142"/>
      <c r="D29" s="153"/>
      <c r="E29" s="146" t="s">
        <v>112</v>
      </c>
      <c r="G29" s="9" t="s">
        <v>18</v>
      </c>
      <c r="H29" s="8" t="s">
        <v>19</v>
      </c>
      <c r="I29" s="7" t="s">
        <v>20</v>
      </c>
      <c r="J29" s="7" t="s">
        <v>32</v>
      </c>
      <c r="K29" s="7" t="s">
        <v>31</v>
      </c>
      <c r="L29" s="7" t="s">
        <v>33</v>
      </c>
      <c r="M29" s="7" t="s">
        <v>36</v>
      </c>
      <c r="N29" s="7" t="s">
        <v>35</v>
      </c>
      <c r="O29" s="7" t="s">
        <v>34</v>
      </c>
      <c r="P29" s="7" t="s">
        <v>37</v>
      </c>
      <c r="Q29" s="7" t="s">
        <v>38</v>
      </c>
      <c r="R29" s="100"/>
      <c r="S29" s="152"/>
      <c r="T29" s="151">
        <f>SUM(T25+T26+T27)</f>
        <v>234.03375000000003</v>
      </c>
      <c r="U29" s="151">
        <f t="shared" ref="U29:AD29" si="4">SUM(U25+U27)</f>
        <v>128.09275</v>
      </c>
      <c r="V29" s="151">
        <f t="shared" si="4"/>
        <v>100.8</v>
      </c>
      <c r="W29" s="76">
        <f t="shared" si="4"/>
        <v>0</v>
      </c>
      <c r="X29" s="76">
        <f t="shared" si="4"/>
        <v>0</v>
      </c>
      <c r="Y29" s="151">
        <f t="shared" si="4"/>
        <v>28.4</v>
      </c>
      <c r="Z29" s="76">
        <f t="shared" si="4"/>
        <v>0.109</v>
      </c>
      <c r="AA29" s="76">
        <f t="shared" si="4"/>
        <v>0</v>
      </c>
      <c r="AB29" s="76">
        <f t="shared" si="4"/>
        <v>0</v>
      </c>
      <c r="AC29" s="76">
        <f t="shared" si="4"/>
        <v>0</v>
      </c>
      <c r="AD29" s="76">
        <f t="shared" si="4"/>
        <v>0</v>
      </c>
    </row>
    <row r="30" spans="2:30" x14ac:dyDescent="0.25">
      <c r="B30" s="7" t="s">
        <v>107</v>
      </c>
      <c r="C30" s="143">
        <v>60</v>
      </c>
      <c r="D30" s="153"/>
      <c r="E30" s="145" t="s">
        <v>108</v>
      </c>
      <c r="G30" s="56">
        <f>SUM(C30*3.25)</f>
        <v>195</v>
      </c>
      <c r="H30" s="149">
        <f>SUM(C30*0.73)</f>
        <v>43.8</v>
      </c>
      <c r="I30" s="149">
        <f>SUM(C30*1.18)</f>
        <v>70.8</v>
      </c>
      <c r="J30" s="29">
        <f>SUM(C30*0.15)</f>
        <v>9</v>
      </c>
      <c r="K30" s="29">
        <f>SUM(C30*0.15)</f>
        <v>9</v>
      </c>
      <c r="L30" s="56">
        <f>SUM(C30*0.18)</f>
        <v>10.799999999999999</v>
      </c>
      <c r="M30" s="18">
        <f>SUM(C30*0.001)</f>
        <v>0.06</v>
      </c>
      <c r="N30" s="18">
        <f>SUM(C30*0.0012)</f>
        <v>7.1999999999999995E-2</v>
      </c>
      <c r="O30" s="29">
        <f>SUM(C30*0.01)</f>
        <v>0.6</v>
      </c>
      <c r="P30" s="29">
        <f>SUM(C30*0.001)</f>
        <v>0.06</v>
      </c>
      <c r="Q30" s="29">
        <f>SUM(C30*0.0012)</f>
        <v>7.1999999999999995E-2</v>
      </c>
      <c r="R30" s="21"/>
    </row>
    <row r="31" spans="2:30" x14ac:dyDescent="0.25">
      <c r="B31" s="61"/>
      <c r="C31" s="16"/>
      <c r="D31" s="153"/>
      <c r="E31" s="145" t="s">
        <v>109</v>
      </c>
      <c r="G31" s="56">
        <f>SUM(C30*1.1)</f>
        <v>66</v>
      </c>
      <c r="H31" s="56">
        <f>SUM(C30*0.24)</f>
        <v>14.399999999999999</v>
      </c>
      <c r="I31" s="56">
        <f>SUM(C30*1)</f>
        <v>60</v>
      </c>
      <c r="J31" s="29">
        <f>SUM(C30*0.35)</f>
        <v>21</v>
      </c>
      <c r="K31" s="29">
        <f>SUM(C30*0.8)</f>
        <v>48</v>
      </c>
      <c r="L31" s="56">
        <f>SUM(C30*0.17)</f>
        <v>10.200000000000001</v>
      </c>
      <c r="M31" s="18">
        <f>SUM(C30*0.0052)</f>
        <v>0.312</v>
      </c>
      <c r="N31" s="18">
        <f>SUM(C30*0.0088)</f>
        <v>0.52800000000000002</v>
      </c>
      <c r="O31" s="29">
        <f>SUM(C30*0.02)</f>
        <v>1.2</v>
      </c>
      <c r="P31" s="29">
        <f>SUM(C30*0.0005)</f>
        <v>0.03</v>
      </c>
      <c r="Q31" s="29">
        <f>SUM(C30*0.0058)</f>
        <v>0.34799999999999998</v>
      </c>
      <c r="R31" s="60"/>
    </row>
    <row r="32" spans="2:30" x14ac:dyDescent="0.25">
      <c r="C32" s="16"/>
      <c r="D32" s="153"/>
      <c r="E32" s="145" t="s">
        <v>110</v>
      </c>
      <c r="G32" s="57">
        <f>SUM(G30:G31)</f>
        <v>261</v>
      </c>
      <c r="H32" s="57">
        <f>SUM(H30:H31)</f>
        <v>58.199999999999996</v>
      </c>
      <c r="I32" s="57">
        <f>SUM(I30:I31)</f>
        <v>130.80000000000001</v>
      </c>
      <c r="J32" s="58">
        <f>SUM(J30:J31)</f>
        <v>30</v>
      </c>
      <c r="K32" s="58">
        <f>SUM(K30:K31)</f>
        <v>57</v>
      </c>
      <c r="L32" s="57">
        <f t="shared" ref="L32:Q32" si="5">SUM(L30:L31)</f>
        <v>21</v>
      </c>
      <c r="M32" s="58">
        <f t="shared" si="5"/>
        <v>0.372</v>
      </c>
      <c r="N32" s="58">
        <f t="shared" si="5"/>
        <v>0.6</v>
      </c>
      <c r="O32" s="58">
        <f t="shared" si="5"/>
        <v>1.7999999999999998</v>
      </c>
      <c r="P32" s="58">
        <f t="shared" si="5"/>
        <v>0.09</v>
      </c>
      <c r="Q32" s="58">
        <f t="shared" si="5"/>
        <v>0.42</v>
      </c>
      <c r="R32" s="60"/>
    </row>
    <row r="33" spans="18:18" x14ac:dyDescent="0.25">
      <c r="R33" s="95"/>
    </row>
    <row r="34" spans="18:18" x14ac:dyDescent="0.25">
      <c r="R34" s="59"/>
    </row>
    <row r="35" spans="18:18" x14ac:dyDescent="0.25">
      <c r="R35" s="21"/>
    </row>
    <row r="36" spans="18:18" x14ac:dyDescent="0.25">
      <c r="R36" s="60"/>
    </row>
    <row r="37" spans="18:18" x14ac:dyDescent="0.25">
      <c r="R37" s="60"/>
    </row>
    <row r="38" spans="18:18" x14ac:dyDescent="0.25">
      <c r="R38" s="95"/>
    </row>
  </sheetData>
  <sheetProtection algorithmName="SHA-512" hashValue="98RSvOXsywhT9RGtNH/eGWmaVyvi5vtmFymh0dOPe3A/8Yj9QJ9rfbfJxrAPi5s1Slc/1xEtA1lW7ooIf+R6Fg==" saltValue="mdqsxczYbh2PGnrlrum4xw==" spinCount="100000" sheet="1" objects="1" scenarios="1"/>
  <mergeCells count="5">
    <mergeCell ref="S28:S29"/>
    <mergeCell ref="D24:D32"/>
    <mergeCell ref="F1:F2"/>
    <mergeCell ref="T1:AD1"/>
    <mergeCell ref="F14:F15"/>
  </mergeCells>
  <dataValidations count="2">
    <dataValidation type="list" allowBlank="1" showInputMessage="1" showErrorMessage="1" sqref="B3:B12" xr:uid="{00000000-0002-0000-0000-000000000000}">
      <formula1>DryFertilizer</formula1>
    </dataValidation>
    <dataValidation type="list" allowBlank="1" showInputMessage="1" showErrorMessage="1" sqref="B16:B21" xr:uid="{00000000-0002-0000-0000-000001000000}">
      <formula1>LiquidFertilizer</formula1>
    </dataValidation>
  </dataValidations>
  <pageMargins left="0.25" right="0.25" top="0.75" bottom="0.75" header="0.3" footer="0.3"/>
  <pageSetup scale="65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autoPageBreaks="0"/>
  </sheetPr>
  <dimension ref="A1:AF46"/>
  <sheetViews>
    <sheetView zoomScale="90" zoomScaleNormal="90" zoomScalePageLayoutView="90" workbookViewId="0">
      <selection activeCell="H16" sqref="H16"/>
    </sheetView>
  </sheetViews>
  <sheetFormatPr defaultColWidth="8.85546875" defaultRowHeight="15" x14ac:dyDescent="0.25"/>
  <cols>
    <col min="2" max="2" width="20.85546875" bestFit="1" customWidth="1"/>
    <col min="3" max="3" width="13.42578125" customWidth="1"/>
    <col min="4" max="4" width="9.42578125" bestFit="1" customWidth="1"/>
    <col min="6" max="6" width="10.42578125" bestFit="1" customWidth="1"/>
    <col min="7" max="7" width="9.42578125" bestFit="1" customWidth="1"/>
    <col min="8" max="8" width="10.140625" bestFit="1" customWidth="1"/>
    <col min="9" max="9" width="10.42578125" bestFit="1" customWidth="1"/>
    <col min="12" max="12" width="9.42578125" bestFit="1" customWidth="1"/>
    <col min="14" max="14" width="11.140625" bestFit="1" customWidth="1"/>
    <col min="19" max="19" width="11.140625" customWidth="1"/>
    <col min="22" max="22" width="12.42578125" customWidth="1"/>
    <col min="23" max="23" width="13.5703125" customWidth="1"/>
    <col min="24" max="24" width="9.42578125" customWidth="1"/>
    <col min="25" max="25" width="13.85546875" customWidth="1"/>
    <col min="26" max="27" width="12.42578125" customWidth="1"/>
  </cols>
  <sheetData>
    <row r="1" spans="1:32" x14ac:dyDescent="0.25">
      <c r="A1" s="59"/>
      <c r="B1" s="22" t="s">
        <v>99</v>
      </c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S1" s="59"/>
      <c r="T1" s="59"/>
      <c r="U1" s="22"/>
      <c r="V1" s="22"/>
      <c r="W1" s="22"/>
      <c r="X1" s="22"/>
      <c r="Y1" s="22"/>
      <c r="Z1" s="22"/>
      <c r="AA1" s="22"/>
      <c r="AB1" s="122"/>
      <c r="AC1" s="122"/>
      <c r="AD1" s="122"/>
      <c r="AE1" s="122"/>
      <c r="AF1" s="122"/>
    </row>
    <row r="2" spans="1:32" x14ac:dyDescent="0.25">
      <c r="A2" s="59"/>
      <c r="B2" s="169" t="s">
        <v>137</v>
      </c>
      <c r="C2" s="141"/>
      <c r="D2" s="120" t="s">
        <v>28</v>
      </c>
      <c r="E2" s="8" t="s">
        <v>138</v>
      </c>
      <c r="F2" s="123"/>
      <c r="G2" s="124"/>
      <c r="H2" s="7" t="s">
        <v>29</v>
      </c>
      <c r="I2" s="7" t="s">
        <v>139</v>
      </c>
      <c r="J2" s="7" t="s">
        <v>140</v>
      </c>
      <c r="K2" s="7" t="s">
        <v>141</v>
      </c>
      <c r="L2" s="7" t="s">
        <v>30</v>
      </c>
      <c r="M2" s="7" t="s">
        <v>142</v>
      </c>
      <c r="N2" s="7" t="s">
        <v>143</v>
      </c>
      <c r="O2" s="7" t="s">
        <v>144</v>
      </c>
      <c r="P2" s="7" t="s">
        <v>145</v>
      </c>
      <c r="Q2" s="7" t="s">
        <v>146</v>
      </c>
      <c r="S2" s="171" t="s">
        <v>147</v>
      </c>
      <c r="T2" s="7" t="s">
        <v>148</v>
      </c>
      <c r="U2" s="6">
        <v>2.1</v>
      </c>
      <c r="V2" s="174" t="str">
        <f>IF(4&gt;U2,"Over fertilize K to build % between 4%-8%","Maintain fertilize plan build if available but stay uder 8%")</f>
        <v>Over fertilize K to build % between 4%-8%</v>
      </c>
      <c r="W2" s="174"/>
      <c r="X2" s="174"/>
      <c r="Y2" s="174"/>
      <c r="Z2" s="174"/>
      <c r="AA2" s="174"/>
      <c r="AB2" s="22"/>
    </row>
    <row r="3" spans="1:32" ht="30" x14ac:dyDescent="0.25">
      <c r="A3" s="59"/>
      <c r="B3" s="170"/>
      <c r="C3" s="86"/>
      <c r="D3" s="120" t="s">
        <v>149</v>
      </c>
      <c r="E3" s="7" t="s">
        <v>150</v>
      </c>
      <c r="F3" s="7" t="s">
        <v>151</v>
      </c>
      <c r="G3" s="32" t="s">
        <v>152</v>
      </c>
      <c r="H3" s="7" t="s">
        <v>153</v>
      </c>
      <c r="I3" s="7" t="s">
        <v>154</v>
      </c>
      <c r="J3" s="7" t="s">
        <v>155</v>
      </c>
      <c r="K3" s="7" t="s">
        <v>156</v>
      </c>
      <c r="L3" s="7" t="s">
        <v>157</v>
      </c>
      <c r="M3" s="7" t="s">
        <v>158</v>
      </c>
      <c r="N3" s="7" t="s">
        <v>159</v>
      </c>
      <c r="O3" s="7" t="s">
        <v>160</v>
      </c>
      <c r="P3" s="7" t="s">
        <v>161</v>
      </c>
      <c r="Q3" s="7" t="s">
        <v>162</v>
      </c>
      <c r="S3" s="172"/>
      <c r="T3" s="7" t="s">
        <v>163</v>
      </c>
      <c r="U3" s="6">
        <v>25.4</v>
      </c>
      <c r="V3" s="174" t="str">
        <f>IF(U3&gt;25,"Soils are likely to compact","Keep between 12% thru 25%")</f>
        <v>Soils are likely to compact</v>
      </c>
      <c r="W3" s="174"/>
      <c r="X3" s="174"/>
      <c r="Y3" s="174"/>
      <c r="Z3" s="174"/>
      <c r="AA3" s="174"/>
      <c r="AB3" s="59"/>
    </row>
    <row r="4" spans="1:32" x14ac:dyDescent="0.25">
      <c r="A4" s="59"/>
      <c r="B4" s="122"/>
      <c r="C4" s="122"/>
      <c r="D4" s="6">
        <v>6</v>
      </c>
      <c r="E4" s="6">
        <v>15</v>
      </c>
      <c r="F4" s="6">
        <v>20</v>
      </c>
      <c r="G4" s="6">
        <v>0</v>
      </c>
      <c r="H4" s="6">
        <v>180</v>
      </c>
      <c r="I4" s="6">
        <v>803</v>
      </c>
      <c r="J4" s="6">
        <v>322</v>
      </c>
      <c r="K4" s="6">
        <v>74</v>
      </c>
      <c r="L4" s="6">
        <v>11</v>
      </c>
      <c r="M4" s="6">
        <v>0.4</v>
      </c>
      <c r="N4" s="6">
        <v>9</v>
      </c>
      <c r="O4" s="6">
        <v>54</v>
      </c>
      <c r="P4" s="6">
        <v>0.7</v>
      </c>
      <c r="Q4" s="6">
        <v>0.6</v>
      </c>
      <c r="S4" s="172"/>
      <c r="T4" s="7" t="s">
        <v>164</v>
      </c>
      <c r="U4" s="6">
        <v>59.4</v>
      </c>
      <c r="V4" s="175" t="str">
        <f>IF(U4&lt;65,"Adding Ag Lime will raise Ca% and lower H%. adjust to between 65% thru 80%","Keep between 65% thru 85%")</f>
        <v>Adding Ag Lime will raise Ca% and lower H%. adjust to between 65% thru 80%</v>
      </c>
      <c r="W4" s="176"/>
      <c r="X4" s="176"/>
      <c r="Y4" s="176"/>
      <c r="Z4" s="176"/>
      <c r="AA4" s="177"/>
      <c r="AB4" s="59"/>
    </row>
    <row r="5" spans="1:32" ht="14.45" customHeight="1" x14ac:dyDescent="0.25">
      <c r="A5" s="125"/>
      <c r="B5" s="59"/>
      <c r="C5" s="59"/>
      <c r="D5" s="7" t="s">
        <v>28</v>
      </c>
      <c r="E5" s="178" t="s">
        <v>138</v>
      </c>
      <c r="F5" s="178"/>
      <c r="G5" s="178"/>
      <c r="H5" s="7" t="s">
        <v>29</v>
      </c>
      <c r="I5" s="7" t="s">
        <v>139</v>
      </c>
      <c r="J5" s="7" t="s">
        <v>140</v>
      </c>
      <c r="K5" s="7" t="s">
        <v>141</v>
      </c>
      <c r="L5" s="7" t="s">
        <v>30</v>
      </c>
      <c r="M5" s="7" t="s">
        <v>142</v>
      </c>
      <c r="N5" s="7" t="s">
        <v>143</v>
      </c>
      <c r="O5" s="7" t="s">
        <v>144</v>
      </c>
      <c r="P5" s="7" t="s">
        <v>145</v>
      </c>
      <c r="Q5" s="7" t="s">
        <v>146</v>
      </c>
      <c r="S5" s="172"/>
      <c r="T5" s="7" t="s">
        <v>165</v>
      </c>
      <c r="U5" s="6">
        <v>12.2</v>
      </c>
      <c r="V5" s="175" t="str">
        <f>IF(U5&gt;10,"Higher han 10% H means more acidic soils and lower pH levels. Adding Lime will raise Ca% and lower H% ")</f>
        <v xml:space="preserve">Higher han 10% H means more acidic soils and lower pH levels. Adding Lime will raise Ca% and lower H% </v>
      </c>
      <c r="W5" s="176"/>
      <c r="X5" s="176"/>
      <c r="Y5" s="176"/>
      <c r="Z5" s="176"/>
      <c r="AA5" s="177"/>
      <c r="AB5" s="59"/>
    </row>
    <row r="6" spans="1:32" x14ac:dyDescent="0.25">
      <c r="A6" s="59"/>
      <c r="C6" s="126" t="s">
        <v>166</v>
      </c>
      <c r="D6" s="127">
        <f>D4*1.8</f>
        <v>10.8</v>
      </c>
      <c r="E6" s="18">
        <f t="shared" ref="E6:Q6" si="0">E4*2</f>
        <v>30</v>
      </c>
      <c r="F6" s="18">
        <f t="shared" si="0"/>
        <v>40</v>
      </c>
      <c r="G6" s="18">
        <f t="shared" si="0"/>
        <v>0</v>
      </c>
      <c r="H6" s="18">
        <f t="shared" si="0"/>
        <v>360</v>
      </c>
      <c r="I6" s="18">
        <f t="shared" si="0"/>
        <v>1606</v>
      </c>
      <c r="J6" s="18">
        <f t="shared" si="0"/>
        <v>644</v>
      </c>
      <c r="K6" s="18">
        <f t="shared" si="0"/>
        <v>148</v>
      </c>
      <c r="L6" s="18">
        <f t="shared" si="0"/>
        <v>22</v>
      </c>
      <c r="M6" s="18">
        <f t="shared" si="0"/>
        <v>0.8</v>
      </c>
      <c r="N6" s="18">
        <f t="shared" si="0"/>
        <v>18</v>
      </c>
      <c r="O6" s="18">
        <f t="shared" si="0"/>
        <v>108</v>
      </c>
      <c r="P6" s="18">
        <f t="shared" si="0"/>
        <v>1.4</v>
      </c>
      <c r="Q6" s="18">
        <f t="shared" si="0"/>
        <v>1.2</v>
      </c>
      <c r="S6" s="173"/>
      <c r="T6" s="7" t="s">
        <v>167</v>
      </c>
      <c r="U6" s="6">
        <v>1.2</v>
      </c>
      <c r="V6" s="174" t="str">
        <f>IF(U6&gt;1,"High Sodium levels can be caused by over applying manure or poor drainage in the field.","Maintain below 1 %")</f>
        <v>High Sodium levels can be caused by over applying manure or poor drainage in the field.</v>
      </c>
      <c r="W6" s="174"/>
      <c r="X6" s="174"/>
      <c r="Y6" s="174"/>
      <c r="Z6" s="174"/>
      <c r="AA6" s="174"/>
      <c r="AB6" s="59"/>
    </row>
    <row r="7" spans="1:32" ht="14.45" customHeight="1" x14ac:dyDescent="0.25">
      <c r="A7" s="59"/>
      <c r="B7" s="59"/>
      <c r="C7" s="59"/>
      <c r="D7" s="7"/>
      <c r="E7" s="7" t="s">
        <v>168</v>
      </c>
      <c r="F7" s="7" t="s">
        <v>168</v>
      </c>
      <c r="G7" s="7"/>
      <c r="H7" s="7" t="s">
        <v>169</v>
      </c>
      <c r="I7" s="7"/>
      <c r="J7" s="7"/>
      <c r="K7" s="7"/>
      <c r="L7" s="7"/>
      <c r="M7" s="7"/>
      <c r="N7" s="7"/>
      <c r="O7" s="7"/>
      <c r="P7" s="7"/>
      <c r="Q7" s="7"/>
      <c r="S7" s="122"/>
      <c r="T7" s="122"/>
      <c r="U7" s="128">
        <f>SUM(U2:U6)</f>
        <v>100.30000000000001</v>
      </c>
      <c r="V7" s="121"/>
      <c r="W7" s="121"/>
      <c r="X7" s="121"/>
      <c r="Y7" s="121"/>
      <c r="Z7" s="121"/>
      <c r="AA7" s="121"/>
      <c r="AB7" s="59"/>
    </row>
    <row r="8" spans="1:32" x14ac:dyDescent="0.25">
      <c r="A8" s="59"/>
      <c r="B8" s="59"/>
      <c r="C8" s="59"/>
      <c r="D8" s="18"/>
      <c r="E8" s="18">
        <f>E6*2.3</f>
        <v>69</v>
      </c>
      <c r="F8" s="18">
        <f>F6*2.3</f>
        <v>92</v>
      </c>
      <c r="G8" s="18"/>
      <c r="H8" s="18">
        <f>H6*1.2</f>
        <v>432</v>
      </c>
      <c r="I8" s="18"/>
      <c r="J8" s="18"/>
      <c r="K8" s="18"/>
      <c r="L8" s="18"/>
      <c r="M8" s="18"/>
      <c r="N8" s="18"/>
      <c r="O8" s="18"/>
      <c r="P8" s="18"/>
      <c r="Q8" s="18"/>
      <c r="U8" s="122"/>
      <c r="V8" s="121"/>
      <c r="W8" s="121"/>
      <c r="X8" s="121"/>
      <c r="Y8" s="121"/>
      <c r="Z8" s="121"/>
      <c r="AA8" s="121"/>
      <c r="AB8" s="59"/>
    </row>
    <row r="9" spans="1:32" x14ac:dyDescent="0.25">
      <c r="A9" s="59"/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S9" s="7"/>
      <c r="T9" s="7" t="s">
        <v>105</v>
      </c>
      <c r="U9" s="7" t="s">
        <v>111</v>
      </c>
      <c r="V9" s="23"/>
      <c r="W9" s="165" t="s">
        <v>170</v>
      </c>
      <c r="X9" s="166">
        <f>1-(E6/F6)</f>
        <v>0.25</v>
      </c>
      <c r="AD9" s="59"/>
      <c r="AE9" s="59"/>
      <c r="AF9" s="59"/>
    </row>
    <row r="10" spans="1:32" x14ac:dyDescent="0.25">
      <c r="A10" s="22" t="s">
        <v>171</v>
      </c>
      <c r="B10" s="22"/>
      <c r="C10" s="22"/>
      <c r="D10" s="22"/>
      <c r="E10" s="22"/>
      <c r="F10" s="22" t="s">
        <v>172</v>
      </c>
      <c r="G10" s="22"/>
      <c r="H10" s="22" t="s">
        <v>173</v>
      </c>
      <c r="I10" s="22"/>
      <c r="J10" s="114">
        <v>0.68</v>
      </c>
      <c r="K10" s="22"/>
      <c r="L10" s="22" t="s">
        <v>174</v>
      </c>
      <c r="M10" s="22" t="s">
        <v>175</v>
      </c>
      <c r="N10" s="22" t="s">
        <v>174</v>
      </c>
      <c r="O10" s="22" t="s">
        <v>174</v>
      </c>
      <c r="P10" s="22" t="s">
        <v>176</v>
      </c>
      <c r="Q10" s="22" t="s">
        <v>177</v>
      </c>
      <c r="S10" s="7" t="s">
        <v>107</v>
      </c>
      <c r="T10" s="6">
        <v>200</v>
      </c>
      <c r="U10" s="6">
        <v>60</v>
      </c>
      <c r="V10" s="23"/>
      <c r="W10" s="165"/>
      <c r="X10" s="166"/>
      <c r="AD10" s="122"/>
      <c r="AE10" s="122"/>
      <c r="AF10" s="122"/>
    </row>
    <row r="11" spans="1:32" x14ac:dyDescent="0.25">
      <c r="A11" s="22"/>
      <c r="B11" s="22"/>
      <c r="C11" s="22"/>
      <c r="D11" s="22"/>
      <c r="E11" s="22"/>
      <c r="F11" s="22"/>
      <c r="G11" s="22"/>
      <c r="H11" s="22" t="s">
        <v>169</v>
      </c>
      <c r="I11" s="22"/>
      <c r="J11" s="22"/>
      <c r="K11" s="22"/>
      <c r="L11" s="22"/>
      <c r="M11" s="22"/>
      <c r="N11" s="22"/>
      <c r="O11" s="22"/>
      <c r="P11" s="22"/>
      <c r="Q11" s="22"/>
      <c r="S11" s="129" t="s">
        <v>178</v>
      </c>
      <c r="T11" s="130">
        <v>26.3</v>
      </c>
      <c r="U11" s="18"/>
      <c r="V11" s="23"/>
      <c r="W11" s="165"/>
      <c r="X11" s="166"/>
    </row>
    <row r="12" spans="1:32" ht="14.45" customHeight="1" x14ac:dyDescent="0.25">
      <c r="A12" s="22"/>
      <c r="B12" s="7" t="s">
        <v>179</v>
      </c>
      <c r="C12" s="7"/>
      <c r="D12" s="7"/>
      <c r="E12" s="7" t="s">
        <v>28</v>
      </c>
      <c r="F12" s="40" t="s">
        <v>138</v>
      </c>
      <c r="G12" s="40"/>
      <c r="H12" s="7" t="s">
        <v>29</v>
      </c>
      <c r="I12" s="7" t="s">
        <v>139</v>
      </c>
      <c r="J12" s="7" t="s">
        <v>140</v>
      </c>
      <c r="K12" s="7" t="s">
        <v>141</v>
      </c>
      <c r="L12" s="7" t="s">
        <v>30</v>
      </c>
      <c r="M12" s="7" t="s">
        <v>142</v>
      </c>
      <c r="N12" s="7" t="s">
        <v>143</v>
      </c>
      <c r="O12" s="7" t="s">
        <v>144</v>
      </c>
      <c r="P12" s="7" t="s">
        <v>145</v>
      </c>
      <c r="Q12" s="7" t="s">
        <v>146</v>
      </c>
      <c r="S12" s="129" t="s">
        <v>180</v>
      </c>
      <c r="T12" s="7"/>
      <c r="U12" s="18" t="str">
        <f>IF((T11*10)&gt;(T10*1.1),"YES","NO")</f>
        <v>YES</v>
      </c>
      <c r="V12" s="23"/>
      <c r="W12" s="23"/>
    </row>
    <row r="13" spans="1:32" ht="14.45" customHeight="1" x14ac:dyDescent="0.25">
      <c r="A13" s="22" t="s">
        <v>18</v>
      </c>
      <c r="B13" s="45" t="s">
        <v>0</v>
      </c>
      <c r="C13" s="147"/>
      <c r="D13" s="131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S13" s="167" t="s">
        <v>181</v>
      </c>
      <c r="T13" s="168"/>
      <c r="U13" s="18">
        <f>SUM(T11*10)</f>
        <v>263</v>
      </c>
      <c r="V13" s="23"/>
      <c r="W13" s="23"/>
    </row>
    <row r="14" spans="1:32" x14ac:dyDescent="0.25">
      <c r="A14" s="22" t="s">
        <v>19</v>
      </c>
      <c r="B14" s="45" t="s">
        <v>182</v>
      </c>
      <c r="C14" s="148">
        <f>('Fertilizer Calc Pricing'!E6/2000)*'Soil Test Reading'!D14</f>
        <v>38.701923076923059</v>
      </c>
      <c r="D14" s="132">
        <f>F14/0.52</f>
        <v>88.461538461538424</v>
      </c>
      <c r="E14" s="56">
        <f>D14*0.11</f>
        <v>9.7307692307692264</v>
      </c>
      <c r="F14" s="18">
        <f>((25*2)*2.3)-(E8)</f>
        <v>45.999999999999986</v>
      </c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S14" s="7" t="s">
        <v>183</v>
      </c>
      <c r="T14" s="6">
        <v>6.2</v>
      </c>
      <c r="U14" s="18" t="str">
        <f>IF(T14&lt;6.3,"LIME","")</f>
        <v>LIME</v>
      </c>
      <c r="V14" s="18" t="str">
        <f>IF(AND(U14="",W14=""),"IDEAL","")</f>
        <v/>
      </c>
      <c r="W14" s="18" t="str">
        <f>IF(T14&gt;7.3,"GYPSUM","")</f>
        <v/>
      </c>
    </row>
    <row r="15" spans="1:32" ht="14.45" customHeight="1" x14ac:dyDescent="0.25">
      <c r="A15" s="22" t="s">
        <v>19</v>
      </c>
      <c r="B15" s="45" t="s">
        <v>1</v>
      </c>
      <c r="C15" s="148">
        <f>('Fertilizer Calc Pricing'!E7/2000)*'Soil Test Reading'!D15</f>
        <v>42.499999999999986</v>
      </c>
      <c r="D15" s="133">
        <f>F15/0.46</f>
        <v>99.999999999999972</v>
      </c>
      <c r="E15" s="18">
        <f>D15*0.18</f>
        <v>17.999999999999993</v>
      </c>
      <c r="F15" s="18">
        <f>((25*2)*2.3)-(E8)</f>
        <v>45.999999999999986</v>
      </c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S15" s="157" t="s">
        <v>184</v>
      </c>
      <c r="T15" s="159" t="str">
        <f>IF(T14&gt;7.3,"Calcium Phosphate (Insoluble)","")</f>
        <v/>
      </c>
      <c r="U15" s="160"/>
      <c r="V15" s="159" t="str">
        <f>IF(T14&lt;6.3,"Phosphorus tie up w/ Aluminum or Iron","")</f>
        <v>Phosphorus tie up w/ Aluminum or Iron</v>
      </c>
      <c r="W15" s="160"/>
    </row>
    <row r="16" spans="1:32" x14ac:dyDescent="0.25">
      <c r="A16" s="22" t="s">
        <v>20</v>
      </c>
      <c r="B16" s="45" t="s">
        <v>2</v>
      </c>
      <c r="C16" s="148">
        <f>('Fertilizer Calc Pricing'!E8/2000)*'Soil Test Reading'!D16</f>
        <v>252.42857142857139</v>
      </c>
      <c r="D16" s="134">
        <f>SUM((((H4*4/U2-H4)))*2)/0.5</f>
        <v>651.42857142857133</v>
      </c>
      <c r="E16" s="18"/>
      <c r="F16" s="18"/>
      <c r="G16" s="18"/>
      <c r="H16" s="127">
        <f>D16*0.6</f>
        <v>390.85714285714278</v>
      </c>
      <c r="I16" s="18"/>
      <c r="J16" s="18"/>
      <c r="K16" s="18"/>
      <c r="L16" s="18"/>
      <c r="M16" s="18"/>
      <c r="N16" s="18"/>
      <c r="O16" s="18"/>
      <c r="P16" s="18"/>
      <c r="Q16" s="18"/>
      <c r="S16" s="158"/>
      <c r="T16" s="161"/>
      <c r="U16" s="162"/>
      <c r="V16" s="161"/>
      <c r="W16" s="162"/>
    </row>
    <row r="17" spans="1:23" x14ac:dyDescent="0.25">
      <c r="A17" s="22" t="s">
        <v>33</v>
      </c>
      <c r="B17" s="45" t="s">
        <v>24</v>
      </c>
      <c r="C17" s="148">
        <f>('Fertilizer Calc Pricing'!E5/2000)*'Soil Test Reading'!D17</f>
        <v>23.625</v>
      </c>
      <c r="D17" s="135">
        <f>L17/0.24</f>
        <v>75</v>
      </c>
      <c r="E17" s="56">
        <f>D17*0.21</f>
        <v>15.75</v>
      </c>
      <c r="F17" s="18"/>
      <c r="G17" s="18"/>
      <c r="H17" s="18"/>
      <c r="I17" s="18"/>
      <c r="J17" s="18"/>
      <c r="K17" s="18"/>
      <c r="L17" s="127">
        <f>((20*2)-L6)</f>
        <v>18</v>
      </c>
      <c r="M17" s="18"/>
      <c r="N17" s="18"/>
      <c r="O17" s="18"/>
      <c r="P17" s="18"/>
      <c r="Q17" s="18"/>
      <c r="S17" s="157" t="s">
        <v>185</v>
      </c>
      <c r="T17" s="159" t="str">
        <f>IF(T14&gt;7,"Olsen Bicarbonate Test - Available","")</f>
        <v/>
      </c>
      <c r="U17" s="160"/>
      <c r="V17" s="159" t="str">
        <f>IF(T14&lt;7,"Bray Tests (P1 Available &amp; P2 Total)","")</f>
        <v>Bray Tests (P1 Available &amp; P2 Total)</v>
      </c>
      <c r="W17" s="160"/>
    </row>
    <row r="18" spans="1:23" x14ac:dyDescent="0.25">
      <c r="A18" s="22" t="s">
        <v>33</v>
      </c>
      <c r="B18" s="45" t="s">
        <v>125</v>
      </c>
      <c r="C18" s="148">
        <f>('Fertilizer Calc Pricing'!E17/2000)*'Soil Test Reading'!D18</f>
        <v>6.25</v>
      </c>
      <c r="D18" s="135">
        <f>L18/0.9</f>
        <v>20</v>
      </c>
      <c r="E18" s="18"/>
      <c r="F18" s="18"/>
      <c r="G18" s="18"/>
      <c r="H18" s="18"/>
      <c r="I18" s="18"/>
      <c r="J18" s="18"/>
      <c r="K18" s="18"/>
      <c r="L18" s="18">
        <f>((20*2)-L6)</f>
        <v>18</v>
      </c>
      <c r="M18" s="18"/>
      <c r="N18" s="18"/>
      <c r="O18" s="18"/>
      <c r="P18" s="18"/>
      <c r="Q18" s="18"/>
      <c r="S18" s="158"/>
      <c r="T18" s="161"/>
      <c r="U18" s="162"/>
      <c r="V18" s="161"/>
      <c r="W18" s="162"/>
    </row>
    <row r="19" spans="1:23" x14ac:dyDescent="0.25">
      <c r="A19" s="22" t="s">
        <v>36</v>
      </c>
      <c r="B19" s="45" t="s">
        <v>71</v>
      </c>
      <c r="C19" s="148">
        <f>(('Fertilizer Calc Pricing'!E18/2000)*'Soil Test Reading'!D19)</f>
        <v>9.6</v>
      </c>
      <c r="D19" s="135">
        <f>M19/0.35</f>
        <v>8</v>
      </c>
      <c r="E19" s="18"/>
      <c r="F19" s="18"/>
      <c r="G19" s="18"/>
      <c r="H19" s="18"/>
      <c r="I19" s="18"/>
      <c r="J19" s="18"/>
      <c r="K19" s="18"/>
      <c r="L19" s="56">
        <f>D19*0.17</f>
        <v>1.36</v>
      </c>
      <c r="M19" s="18">
        <f>((1.8*2)-M6)</f>
        <v>2.8</v>
      </c>
      <c r="N19" s="18"/>
      <c r="O19" s="18"/>
      <c r="P19" s="18"/>
      <c r="Q19" s="18"/>
    </row>
    <row r="20" spans="1:23" ht="14.45" customHeight="1" x14ac:dyDescent="0.25">
      <c r="A20" s="22" t="s">
        <v>35</v>
      </c>
      <c r="B20" s="45" t="s">
        <v>123</v>
      </c>
      <c r="C20" s="148">
        <f>('Fertilizer Calc Pricing'!E19/2000)*'Soil Test Reading'!D20</f>
        <v>79.0625</v>
      </c>
      <c r="D20" s="133">
        <f>N20/0.32</f>
        <v>68.75</v>
      </c>
      <c r="E20" s="18"/>
      <c r="F20" s="18"/>
      <c r="G20" s="18"/>
      <c r="H20" s="18"/>
      <c r="I20" s="18"/>
      <c r="J20" s="18"/>
      <c r="K20" s="18"/>
      <c r="L20" s="56">
        <f>D20*0.17</f>
        <v>11.6875</v>
      </c>
      <c r="M20" s="18"/>
      <c r="N20" s="56">
        <f>((20*2)-N6)</f>
        <v>22</v>
      </c>
      <c r="O20" s="18"/>
      <c r="P20" s="18"/>
      <c r="Q20" s="18"/>
      <c r="S20" s="163" t="s">
        <v>186</v>
      </c>
      <c r="T20" s="164"/>
      <c r="U20" s="164"/>
      <c r="V20" s="164"/>
    </row>
    <row r="21" spans="1:23" x14ac:dyDescent="0.25">
      <c r="A21" s="22" t="s">
        <v>37</v>
      </c>
      <c r="B21" s="45" t="s">
        <v>73</v>
      </c>
      <c r="C21" s="148">
        <f>('Fertilizer Calc Pricing'!E20/2000)*'Soil Test Reading'!D21</f>
        <v>11.479999999999999</v>
      </c>
      <c r="D21" s="133">
        <f>P21/0.25</f>
        <v>5.6</v>
      </c>
      <c r="E21" s="18"/>
      <c r="F21" s="18"/>
      <c r="G21" s="18"/>
      <c r="H21" s="18"/>
      <c r="I21" s="18"/>
      <c r="J21" s="18"/>
      <c r="K21" s="18"/>
      <c r="L21" s="56">
        <f>D21*0.12</f>
        <v>0.67199999999999993</v>
      </c>
      <c r="M21" s="18"/>
      <c r="N21" s="18"/>
      <c r="O21" s="18"/>
      <c r="P21" s="56">
        <f>((1.4*2)-P6)</f>
        <v>1.4</v>
      </c>
      <c r="Q21" s="18"/>
      <c r="S21" s="20"/>
      <c r="T21" s="20" t="s">
        <v>105</v>
      </c>
      <c r="U21" s="20" t="s">
        <v>111</v>
      </c>
      <c r="V21" s="7" t="s">
        <v>121</v>
      </c>
    </row>
    <row r="22" spans="1:23" ht="14.45" customHeight="1" x14ac:dyDescent="0.25">
      <c r="A22" s="22" t="s">
        <v>38</v>
      </c>
      <c r="B22" s="45" t="s">
        <v>122</v>
      </c>
      <c r="C22" s="148">
        <f>'Fertilizer Calc Pricing'!E21*'Soil Test Reading'!D22</f>
        <v>8.8571428571428577</v>
      </c>
      <c r="D22" s="135">
        <f>Q22/0.21</f>
        <v>5.7142857142857144</v>
      </c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>
        <f>((1.2*2)-Q6)</f>
        <v>1.2</v>
      </c>
      <c r="S22" s="7" t="s">
        <v>187</v>
      </c>
      <c r="T22" s="30">
        <v>0.85</v>
      </c>
      <c r="U22" s="30">
        <v>0.93</v>
      </c>
      <c r="V22" s="30">
        <v>0.85</v>
      </c>
    </row>
    <row r="23" spans="1:23" x14ac:dyDescent="0.25">
      <c r="A23" s="22" t="s">
        <v>38</v>
      </c>
      <c r="B23" s="45" t="s">
        <v>124</v>
      </c>
      <c r="C23" s="148">
        <f>('Fertilizer Calc Pricing'!E22/2000)*'Soil Test Reading'!D23</f>
        <v>5.4285714285714288</v>
      </c>
      <c r="D23" s="135">
        <f>Q23/0.21</f>
        <v>5.7142857142857144</v>
      </c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>
        <f>((1.2*2)-Q6)</f>
        <v>1.2</v>
      </c>
      <c r="S23" s="136" t="s">
        <v>188</v>
      </c>
      <c r="T23" s="30">
        <v>1</v>
      </c>
      <c r="U23" s="30">
        <v>1</v>
      </c>
      <c r="V23" s="30">
        <v>1</v>
      </c>
    </row>
    <row r="24" spans="1:23" x14ac:dyDescent="0.25">
      <c r="A24" s="22" t="s">
        <v>31</v>
      </c>
      <c r="B24" s="45" t="s">
        <v>69</v>
      </c>
      <c r="C24" s="148">
        <f>('Fertilizer Calc Pricing'!E27/2000)*'Soil Test Reading'!D24</f>
        <v>16.83482977927423</v>
      </c>
      <c r="D24" s="137">
        <f>SUM((((J4*68/U4-J4)))*2)/0.36</f>
        <v>258.99738121960354</v>
      </c>
      <c r="E24" s="18"/>
      <c r="F24" s="18"/>
      <c r="G24" s="18"/>
      <c r="H24" s="18"/>
      <c r="I24" s="56">
        <f>D24*0.005</f>
        <v>1.2949869060980177</v>
      </c>
      <c r="J24" s="127">
        <f>D24*0.36</f>
        <v>93.239057239057274</v>
      </c>
      <c r="K24" s="18"/>
      <c r="L24" s="18"/>
      <c r="M24" s="18"/>
      <c r="N24" s="18"/>
      <c r="O24" s="18"/>
      <c r="P24" s="18"/>
      <c r="Q24" s="18"/>
      <c r="S24" s="138" t="s">
        <v>189</v>
      </c>
      <c r="T24" s="139">
        <v>0.83</v>
      </c>
      <c r="U24" s="139">
        <v>0.8</v>
      </c>
      <c r="V24" s="30">
        <v>0.89</v>
      </c>
    </row>
    <row r="25" spans="1:23" ht="14.45" customHeight="1" x14ac:dyDescent="0.25">
      <c r="A25" s="22" t="s">
        <v>31</v>
      </c>
      <c r="B25" s="45" t="s">
        <v>66</v>
      </c>
      <c r="C25" s="148">
        <f>('Fertilizer Calc Pricing'!E26/2000)*'Soil Test Reading'!D25</f>
        <v>39.202785430058171</v>
      </c>
      <c r="D25" s="137">
        <f>SUM((((J4*68/U4-J4)))*2)/0.22</f>
        <v>423.81389654116941</v>
      </c>
      <c r="E25" s="18"/>
      <c r="F25" s="18"/>
      <c r="G25" s="18"/>
      <c r="H25" s="18"/>
      <c r="I25" s="18"/>
      <c r="J25" s="127">
        <f>D25*0.22</f>
        <v>93.239057239057274</v>
      </c>
      <c r="K25" s="18"/>
      <c r="L25" s="56">
        <f>D25*0.17</f>
        <v>72.048362411998809</v>
      </c>
      <c r="M25" s="18"/>
      <c r="N25" s="18"/>
      <c r="O25" s="18"/>
      <c r="P25" s="18"/>
      <c r="Q25" s="18"/>
      <c r="S25" s="138" t="s">
        <v>190</v>
      </c>
      <c r="T25" s="139">
        <v>0.73</v>
      </c>
      <c r="U25" s="139">
        <v>0.79</v>
      </c>
      <c r="V25" s="30">
        <v>0.76</v>
      </c>
    </row>
    <row r="26" spans="1:23" ht="14.45" customHeight="1" x14ac:dyDescent="0.25">
      <c r="A26" s="22" t="s">
        <v>200</v>
      </c>
      <c r="B26" s="45" t="s">
        <v>64</v>
      </c>
      <c r="C26" s="148">
        <f>('Fertilizer Calc Pricing'!E24/2000)*'Soil Test Reading'!D26</f>
        <v>10.741826870859134</v>
      </c>
      <c r="D26" s="137">
        <f>SUM((((J4*68/U4-J4)))*2)/0.217</f>
        <v>429.67307483436531</v>
      </c>
      <c r="E26" s="18"/>
      <c r="F26" s="18"/>
      <c r="G26" s="18"/>
      <c r="H26" s="18"/>
      <c r="I26" s="56">
        <f>D26*0.131</f>
        <v>56.287172803301857</v>
      </c>
      <c r="J26" s="127">
        <f>D26*0.217</f>
        <v>93.239057239057274</v>
      </c>
      <c r="K26" s="18"/>
      <c r="L26" s="18"/>
      <c r="M26" s="18"/>
      <c r="N26" s="18"/>
      <c r="O26" s="18"/>
      <c r="P26" s="18"/>
      <c r="Q26" s="18"/>
      <c r="S26" s="7" t="s">
        <v>191</v>
      </c>
      <c r="T26" s="30">
        <v>0.34</v>
      </c>
      <c r="U26" s="30">
        <v>0.65</v>
      </c>
      <c r="V26" s="30">
        <v>0.68</v>
      </c>
    </row>
    <row r="27" spans="1:23" x14ac:dyDescent="0.25">
      <c r="A27" s="22" t="s">
        <v>31</v>
      </c>
      <c r="B27" s="45" t="s">
        <v>63</v>
      </c>
      <c r="C27" s="148">
        <f>('Fertilizer Calc Pricing'!E25/2000)*'Soil Test Reading'!D27</f>
        <v>8.1584175084175126</v>
      </c>
      <c r="D27" s="137">
        <f>SUM((((J4*68/U4-J4)))*2)/0.4</f>
        <v>233.09764309764319</v>
      </c>
      <c r="E27" s="18"/>
      <c r="F27" s="18"/>
      <c r="G27" s="18"/>
      <c r="H27" s="18"/>
      <c r="I27" s="56">
        <f>D27*0.005</f>
        <v>1.165488215488216</v>
      </c>
      <c r="J27" s="127">
        <f>D27*0.4</f>
        <v>93.239057239057274</v>
      </c>
      <c r="K27" s="18"/>
      <c r="L27" s="18"/>
      <c r="M27" s="18"/>
      <c r="N27" s="18"/>
      <c r="O27" s="18"/>
      <c r="P27" s="18"/>
      <c r="Q27" s="18"/>
    </row>
    <row r="28" spans="1:23" ht="14.45" customHeight="1" x14ac:dyDescent="0.25">
      <c r="A28" s="22"/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</row>
    <row r="29" spans="1:23" x14ac:dyDescent="0.25">
      <c r="A29" s="22"/>
      <c r="B29" s="22"/>
      <c r="C29" s="22"/>
      <c r="D29" s="22"/>
      <c r="E29" s="22"/>
      <c r="F29" s="22" t="s">
        <v>192</v>
      </c>
      <c r="G29" s="22"/>
      <c r="H29" s="22" t="s">
        <v>193</v>
      </c>
      <c r="I29" s="22"/>
      <c r="J29" s="114">
        <v>0.68</v>
      </c>
      <c r="K29" s="22"/>
      <c r="L29" s="22" t="s">
        <v>194</v>
      </c>
      <c r="M29" s="22" t="s">
        <v>195</v>
      </c>
      <c r="N29" s="22" t="s">
        <v>196</v>
      </c>
      <c r="O29" s="22" t="s">
        <v>196</v>
      </c>
      <c r="P29" s="22" t="s">
        <v>197</v>
      </c>
      <c r="Q29" s="22" t="s">
        <v>198</v>
      </c>
    </row>
    <row r="30" spans="1:23" x14ac:dyDescent="0.25">
      <c r="A30" s="22"/>
      <c r="B30" s="22"/>
      <c r="C30" s="22"/>
      <c r="D30" s="22"/>
      <c r="E30" s="22"/>
      <c r="F30" s="22"/>
      <c r="G30" s="22"/>
      <c r="H30" s="22" t="s">
        <v>169</v>
      </c>
      <c r="I30" s="22"/>
      <c r="J30" s="22"/>
      <c r="K30" s="22"/>
      <c r="L30" s="22"/>
      <c r="M30" s="22"/>
      <c r="N30" s="22"/>
      <c r="O30" s="22"/>
      <c r="P30" s="22"/>
      <c r="Q30" s="22"/>
    </row>
    <row r="31" spans="1:23" x14ac:dyDescent="0.25">
      <c r="A31" s="22" t="s">
        <v>199</v>
      </c>
      <c r="B31" s="7" t="s">
        <v>179</v>
      </c>
      <c r="C31" s="7"/>
      <c r="D31" s="7"/>
      <c r="E31" s="7" t="s">
        <v>28</v>
      </c>
      <c r="F31" s="40" t="s">
        <v>138</v>
      </c>
      <c r="G31" s="40"/>
      <c r="H31" s="7" t="s">
        <v>29</v>
      </c>
      <c r="I31" s="7" t="s">
        <v>139</v>
      </c>
      <c r="J31" s="7" t="s">
        <v>140</v>
      </c>
      <c r="K31" s="7" t="s">
        <v>141</v>
      </c>
      <c r="L31" s="7" t="s">
        <v>30</v>
      </c>
      <c r="M31" s="7" t="s">
        <v>142</v>
      </c>
      <c r="N31" s="7" t="s">
        <v>143</v>
      </c>
      <c r="O31" s="7" t="s">
        <v>144</v>
      </c>
      <c r="P31" s="7" t="s">
        <v>145</v>
      </c>
      <c r="Q31" s="7" t="s">
        <v>146</v>
      </c>
    </row>
    <row r="32" spans="1:23" x14ac:dyDescent="0.25">
      <c r="A32" s="22" t="s">
        <v>18</v>
      </c>
      <c r="B32" s="45" t="s">
        <v>0</v>
      </c>
      <c r="C32" s="148"/>
      <c r="D32" s="131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</row>
    <row r="33" spans="1:17" x14ac:dyDescent="0.25">
      <c r="A33" s="22" t="s">
        <v>19</v>
      </c>
      <c r="B33" s="45" t="s">
        <v>182</v>
      </c>
      <c r="C33" s="148">
        <f>('Fertilizer Calc Pricing'!E6/2000)*'Soil Test Reading'!D33</f>
        <v>135.45673076923072</v>
      </c>
      <c r="D33" s="133">
        <f>F33/0.52</f>
        <v>309.61538461538453</v>
      </c>
      <c r="E33" s="56">
        <f>D33*0.12</f>
        <v>37.153846153846139</v>
      </c>
      <c r="F33" s="18">
        <f>((50*2)*2.3)-(E8)</f>
        <v>160.99999999999997</v>
      </c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</row>
    <row r="34" spans="1:17" x14ac:dyDescent="0.25">
      <c r="A34" s="22" t="s">
        <v>19</v>
      </c>
      <c r="B34" s="45" t="s">
        <v>1</v>
      </c>
      <c r="C34" s="148">
        <f>('Fertilizer Calc Pricing'!E7/2000)*'Soil Test Reading'!D34</f>
        <v>148.74999999999997</v>
      </c>
      <c r="D34" s="140">
        <f>F34/0.46</f>
        <v>349.99999999999994</v>
      </c>
      <c r="E34" s="18">
        <f>D34*0.18</f>
        <v>62.999999999999986</v>
      </c>
      <c r="F34" s="18">
        <f>((50*2)*2.3)-(E8)</f>
        <v>160.99999999999997</v>
      </c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</row>
    <row r="35" spans="1:17" x14ac:dyDescent="0.25">
      <c r="A35" s="22" t="s">
        <v>20</v>
      </c>
      <c r="B35" s="45" t="s">
        <v>2</v>
      </c>
      <c r="C35" s="148">
        <f>('Fertilizer Calc Pricing'!E8/2000)*'Soil Test Reading'!D35</f>
        <v>651</v>
      </c>
      <c r="D35" s="134">
        <f>SUM((((H4*7/U2-H4)))*2)/0.5</f>
        <v>1680</v>
      </c>
      <c r="E35" s="18"/>
      <c r="F35" s="18"/>
      <c r="G35" s="18"/>
      <c r="H35" s="127">
        <f>D35*0.6</f>
        <v>1008</v>
      </c>
      <c r="I35" s="18"/>
      <c r="J35" s="18"/>
      <c r="K35" s="18"/>
      <c r="L35" s="18"/>
      <c r="M35" s="18"/>
      <c r="N35" s="18"/>
      <c r="O35" s="18"/>
      <c r="P35" s="18"/>
      <c r="Q35" s="18"/>
    </row>
    <row r="36" spans="1:17" x14ac:dyDescent="0.25">
      <c r="A36" s="22" t="s">
        <v>33</v>
      </c>
      <c r="B36" s="45" t="s">
        <v>24</v>
      </c>
      <c r="C36" s="148">
        <f>('Fertilizer Calc Pricing'!E5/2000)*'Soil Test Reading'!D36</f>
        <v>181.125</v>
      </c>
      <c r="D36" s="133">
        <f>L36/0.24</f>
        <v>575</v>
      </c>
      <c r="E36" s="18">
        <f>D36*0.21</f>
        <v>120.75</v>
      </c>
      <c r="F36" s="18"/>
      <c r="G36" s="18"/>
      <c r="H36" s="18"/>
      <c r="I36" s="18"/>
      <c r="J36" s="18"/>
      <c r="K36" s="18"/>
      <c r="L36" s="18">
        <f>((80*2)-L6)</f>
        <v>138</v>
      </c>
      <c r="M36" s="18"/>
      <c r="N36" s="18"/>
      <c r="O36" s="18"/>
      <c r="P36" s="18"/>
      <c r="Q36" s="18"/>
    </row>
    <row r="37" spans="1:17" x14ac:dyDescent="0.25">
      <c r="A37" s="22" t="s">
        <v>33</v>
      </c>
      <c r="B37" s="45" t="s">
        <v>125</v>
      </c>
      <c r="C37" s="148">
        <f>('Fertilizer Calc Pricing'!E17/2000)*'Soil Test Reading'!D37</f>
        <v>47.916666666666671</v>
      </c>
      <c r="D37" s="133">
        <f>L37/0.9</f>
        <v>153.33333333333334</v>
      </c>
      <c r="E37" s="18"/>
      <c r="F37" s="18"/>
      <c r="G37" s="18"/>
      <c r="H37" s="18"/>
      <c r="I37" s="18"/>
      <c r="J37" s="18"/>
      <c r="K37" s="18"/>
      <c r="L37" s="18">
        <f>((80*2)-L6)</f>
        <v>138</v>
      </c>
      <c r="M37" s="18"/>
      <c r="N37" s="18"/>
      <c r="O37" s="18"/>
      <c r="P37" s="18"/>
      <c r="Q37" s="18"/>
    </row>
    <row r="38" spans="1:17" x14ac:dyDescent="0.25">
      <c r="A38" s="22" t="s">
        <v>36</v>
      </c>
      <c r="B38" s="45" t="s">
        <v>71</v>
      </c>
      <c r="C38" s="148">
        <f>(('Fertilizer Calc Pricing'!E18/2000)*'Soil Test Reading'!D38)</f>
        <v>21.257142857142856</v>
      </c>
      <c r="D38" s="135">
        <f>M38/0.35</f>
        <v>17.714285714285715</v>
      </c>
      <c r="E38" s="18"/>
      <c r="F38" s="18"/>
      <c r="G38" s="18"/>
      <c r="H38" s="18"/>
      <c r="I38" s="18"/>
      <c r="J38" s="18"/>
      <c r="K38" s="18"/>
      <c r="L38" s="56">
        <f>D38*0.17</f>
        <v>3.011428571428572</v>
      </c>
      <c r="M38" s="18">
        <f>((3.5*2)-M6)</f>
        <v>6.2</v>
      </c>
      <c r="N38" s="18"/>
      <c r="O38" s="18"/>
      <c r="P38" s="18"/>
      <c r="Q38" s="18"/>
    </row>
    <row r="39" spans="1:17" x14ac:dyDescent="0.25">
      <c r="A39" s="22" t="s">
        <v>35</v>
      </c>
      <c r="B39" s="45" t="s">
        <v>123</v>
      </c>
      <c r="C39" s="148">
        <f>('Fertilizer Calc Pricing'!E19/2000)*'Soil Test Reading'!D39</f>
        <v>222.81249999999997</v>
      </c>
      <c r="D39" s="133">
        <f>N39/0.32</f>
        <v>193.75</v>
      </c>
      <c r="E39" s="18"/>
      <c r="F39" s="18"/>
      <c r="G39" s="18"/>
      <c r="H39" s="18"/>
      <c r="I39" s="18"/>
      <c r="J39" s="18"/>
      <c r="K39" s="18"/>
      <c r="L39" s="56">
        <f>D39*0.17</f>
        <v>32.9375</v>
      </c>
      <c r="M39" s="18"/>
      <c r="N39" s="56">
        <f>((40*2)-N6)</f>
        <v>62</v>
      </c>
      <c r="O39" s="18"/>
      <c r="P39" s="18"/>
      <c r="Q39" s="18"/>
    </row>
    <row r="40" spans="1:17" x14ac:dyDescent="0.25">
      <c r="A40" s="22" t="s">
        <v>37</v>
      </c>
      <c r="B40" s="45" t="s">
        <v>73</v>
      </c>
      <c r="C40" s="148">
        <f>('Fertilizer Calc Pricing'!E20/2000)*'Soil Test Reading'!D40</f>
        <v>21.32</v>
      </c>
      <c r="D40" s="133">
        <f>P40/0.25</f>
        <v>10.4</v>
      </c>
      <c r="E40" s="18"/>
      <c r="F40" s="18"/>
      <c r="G40" s="18"/>
      <c r="H40" s="18"/>
      <c r="I40" s="18"/>
      <c r="J40" s="18"/>
      <c r="K40" s="18"/>
      <c r="L40" s="56">
        <f>D40*0.12</f>
        <v>1.248</v>
      </c>
      <c r="M40" s="18"/>
      <c r="N40" s="18"/>
      <c r="O40" s="18"/>
      <c r="P40" s="56">
        <f>((2*2)-P6)</f>
        <v>2.6</v>
      </c>
      <c r="Q40" s="18"/>
    </row>
    <row r="41" spans="1:17" x14ac:dyDescent="0.25">
      <c r="A41" s="22" t="s">
        <v>38</v>
      </c>
      <c r="B41" s="45" t="s">
        <v>122</v>
      </c>
      <c r="C41" s="148">
        <f>'Fertilizer Calc Pricing'!E21*'Soil Test Reading'!D41</f>
        <v>35.428571428571431</v>
      </c>
      <c r="D41" s="135">
        <f>Q41/0.21</f>
        <v>22.857142857142858</v>
      </c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>
        <f>((3*2)-Q6)</f>
        <v>4.8</v>
      </c>
    </row>
    <row r="42" spans="1:17" x14ac:dyDescent="0.25">
      <c r="A42" s="22" t="s">
        <v>38</v>
      </c>
      <c r="B42" s="45" t="s">
        <v>124</v>
      </c>
      <c r="C42" s="148">
        <f>('Fertilizer Calc Pricing'!E22/2000)*'Soil Test Reading'!D42</f>
        <v>21.714285714285715</v>
      </c>
      <c r="D42" s="135">
        <f>Q42/0.21</f>
        <v>22.857142857142858</v>
      </c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>
        <f>((3*2)-Q6)</f>
        <v>4.8</v>
      </c>
    </row>
    <row r="43" spans="1:17" x14ac:dyDescent="0.25">
      <c r="A43" s="22" t="s">
        <v>31</v>
      </c>
      <c r="B43" s="45" t="s">
        <v>69</v>
      </c>
      <c r="C43" s="148">
        <f>('Fertilizer Calc Pricing'!E27/2000)*'Soil Test Reading'!D43</f>
        <v>16.83482977927423</v>
      </c>
      <c r="D43" s="137">
        <f>SUM((((J4*68/U4-J4)))*2)/0.36</f>
        <v>258.99738121960354</v>
      </c>
      <c r="E43" s="18"/>
      <c r="F43" s="18"/>
      <c r="G43" s="18"/>
      <c r="H43" s="18"/>
      <c r="I43" s="56">
        <f>D43*0.005</f>
        <v>1.2949869060980177</v>
      </c>
      <c r="J43" s="127">
        <f>D43*0.36</f>
        <v>93.239057239057274</v>
      </c>
      <c r="K43" s="18"/>
      <c r="L43" s="18"/>
      <c r="M43" s="18"/>
      <c r="N43" s="18"/>
      <c r="O43" s="18"/>
      <c r="P43" s="18"/>
      <c r="Q43" s="18"/>
    </row>
    <row r="44" spans="1:17" x14ac:dyDescent="0.25">
      <c r="A44" s="22" t="s">
        <v>31</v>
      </c>
      <c r="B44" s="45" t="s">
        <v>66</v>
      </c>
      <c r="C44" s="148">
        <f>('Fertilizer Calc Pricing'!E26/2000)*'Soil Test Reading'!D44</f>
        <v>39.202785430058171</v>
      </c>
      <c r="D44" s="137">
        <f>SUM((((J4*68/U4-J4)))*2)/0.22</f>
        <v>423.81389654116941</v>
      </c>
      <c r="E44" s="18"/>
      <c r="F44" s="18"/>
      <c r="G44" s="18"/>
      <c r="H44" s="18"/>
      <c r="I44" s="18"/>
      <c r="J44" s="127">
        <f>D44*0.22</f>
        <v>93.239057239057274</v>
      </c>
      <c r="K44" s="18"/>
      <c r="L44" s="56">
        <f>D44*0.17</f>
        <v>72.048362411998809</v>
      </c>
      <c r="M44" s="18"/>
      <c r="N44" s="18"/>
      <c r="O44" s="18"/>
      <c r="P44" s="18"/>
      <c r="Q44" s="18"/>
    </row>
    <row r="45" spans="1:17" x14ac:dyDescent="0.25">
      <c r="A45" s="22" t="s">
        <v>200</v>
      </c>
      <c r="B45" s="45" t="s">
        <v>64</v>
      </c>
      <c r="C45" s="148">
        <f>('Fertilizer Calc Pricing'!E24/2000)*'Soil Test Reading'!D45</f>
        <v>10.741826870859134</v>
      </c>
      <c r="D45" s="137">
        <f>SUM((((J4*68/U4-J4)))*2)/0.217</f>
        <v>429.67307483436531</v>
      </c>
      <c r="E45" s="18"/>
      <c r="F45" s="18"/>
      <c r="G45" s="18"/>
      <c r="H45" s="18"/>
      <c r="I45" s="56">
        <f>D45*0.131</f>
        <v>56.287172803301857</v>
      </c>
      <c r="J45" s="127">
        <f>D45*0.217</f>
        <v>93.239057239057274</v>
      </c>
      <c r="K45" s="18"/>
      <c r="L45" s="18"/>
      <c r="M45" s="18"/>
      <c r="N45" s="18"/>
      <c r="O45" s="18"/>
      <c r="P45" s="18"/>
      <c r="Q45" s="18"/>
    </row>
    <row r="46" spans="1:17" x14ac:dyDescent="0.25">
      <c r="A46" s="22" t="s">
        <v>31</v>
      </c>
      <c r="B46" s="45" t="s">
        <v>63</v>
      </c>
      <c r="C46" s="148">
        <f>('Fertilizer Calc Pricing'!E25/2000)*'Soil Test Reading'!D46</f>
        <v>8.1584175084175126</v>
      </c>
      <c r="D46" s="137">
        <f>SUM((((J4*68/U4-J4)))*2)/0.4</f>
        <v>233.09764309764319</v>
      </c>
      <c r="E46" s="18"/>
      <c r="F46" s="18"/>
      <c r="G46" s="18"/>
      <c r="H46" s="18"/>
      <c r="I46" s="56">
        <f>D46*0.005</f>
        <v>1.165488215488216</v>
      </c>
      <c r="J46" s="127">
        <f>D46*0.4</f>
        <v>93.239057239057274</v>
      </c>
      <c r="K46" s="18"/>
      <c r="L46" s="18"/>
      <c r="M46" s="18"/>
      <c r="N46" s="18"/>
      <c r="O46" s="18"/>
      <c r="P46" s="18"/>
      <c r="Q46" s="18"/>
    </row>
  </sheetData>
  <sheetProtection password="CC99" sheet="1" objects="1" scenarios="1"/>
  <mergeCells count="18">
    <mergeCell ref="B2:B3"/>
    <mergeCell ref="S2:S6"/>
    <mergeCell ref="V2:AA2"/>
    <mergeCell ref="V3:AA3"/>
    <mergeCell ref="V4:AA4"/>
    <mergeCell ref="E5:G5"/>
    <mergeCell ref="V5:AA5"/>
    <mergeCell ref="V6:AA6"/>
    <mergeCell ref="X9:X11"/>
    <mergeCell ref="S13:T13"/>
    <mergeCell ref="S15:S16"/>
    <mergeCell ref="T15:U16"/>
    <mergeCell ref="V15:W16"/>
    <mergeCell ref="S17:S18"/>
    <mergeCell ref="T17:U18"/>
    <mergeCell ref="V17:W18"/>
    <mergeCell ref="S20:V20"/>
    <mergeCell ref="W9:W11"/>
  </mergeCell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BC58"/>
  <sheetViews>
    <sheetView workbookViewId="0">
      <selection activeCell="E49" sqref="E49"/>
    </sheetView>
  </sheetViews>
  <sheetFormatPr defaultColWidth="8.85546875" defaultRowHeight="15" x14ac:dyDescent="0.25"/>
  <cols>
    <col min="1" max="1" width="5.42578125" bestFit="1" customWidth="1"/>
    <col min="2" max="2" width="15.85546875" hidden="1" customWidth="1"/>
    <col min="3" max="3" width="26.140625" hidden="1" customWidth="1"/>
    <col min="4" max="4" width="23.42578125" bestFit="1" customWidth="1"/>
    <col min="5" max="5" width="9.85546875" style="16" bestFit="1" customWidth="1"/>
    <col min="6" max="6" width="11.85546875" hidden="1" customWidth="1"/>
    <col min="7" max="7" width="11.85546875" style="103" hidden="1" customWidth="1"/>
    <col min="8" max="8" width="8.85546875" hidden="1" customWidth="1"/>
    <col min="9" max="9" width="7.85546875" hidden="1" customWidth="1"/>
    <col min="10" max="10" width="7" hidden="1" customWidth="1"/>
    <col min="11" max="11" width="8.85546875" hidden="1" customWidth="1"/>
    <col min="12" max="13" width="7" hidden="1" customWidth="1"/>
    <col min="14" max="14" width="8.85546875" hidden="1" customWidth="1"/>
    <col min="15" max="15" width="7" hidden="1" customWidth="1"/>
    <col min="16" max="16" width="6.85546875" hidden="1" customWidth="1"/>
    <col min="17" max="17" width="6" hidden="1" customWidth="1"/>
    <col min="18" max="19" width="7" hidden="1" customWidth="1"/>
    <col min="20" max="20" width="3.5703125" hidden="1" customWidth="1"/>
    <col min="21" max="30" width="5.42578125" hidden="1" customWidth="1"/>
    <col min="31" max="31" width="4.42578125" hidden="1" customWidth="1"/>
    <col min="32" max="32" width="8.85546875" hidden="1" customWidth="1"/>
    <col min="33" max="33" width="8.85546875" customWidth="1"/>
    <col min="34" max="41" width="9.42578125" hidden="1" customWidth="1"/>
    <col min="42" max="42" width="8.85546875" hidden="1" customWidth="1"/>
    <col min="43" max="43" width="3.5703125" customWidth="1"/>
    <col min="44" max="44" width="6" bestFit="1" customWidth="1"/>
    <col min="45" max="45" width="6.28515625" customWidth="1"/>
    <col min="46" max="47" width="6.42578125" bestFit="1" customWidth="1"/>
    <col min="48" max="49" width="5.42578125" bestFit="1" customWidth="1"/>
    <col min="50" max="50" width="6.42578125" customWidth="1"/>
    <col min="51" max="51" width="5.42578125" bestFit="1" customWidth="1"/>
    <col min="52" max="53" width="5.42578125" customWidth="1"/>
    <col min="54" max="54" width="6.42578125" bestFit="1" customWidth="1"/>
  </cols>
  <sheetData>
    <row r="1" spans="2:55" x14ac:dyDescent="0.25">
      <c r="D1" t="s">
        <v>99</v>
      </c>
      <c r="H1" s="154" t="s">
        <v>98</v>
      </c>
      <c r="U1" s="155" t="s">
        <v>46</v>
      </c>
      <c r="V1" s="155"/>
      <c r="W1" s="155"/>
      <c r="X1" s="155"/>
      <c r="Y1" s="155"/>
      <c r="Z1" s="155"/>
      <c r="AA1" s="155"/>
      <c r="AB1" s="155"/>
      <c r="AC1" s="155"/>
      <c r="AD1" s="155"/>
      <c r="AE1" s="155"/>
    </row>
    <row r="2" spans="2:55" x14ac:dyDescent="0.25">
      <c r="B2" t="s">
        <v>97</v>
      </c>
      <c r="D2" s="49" t="s">
        <v>96</v>
      </c>
      <c r="E2" s="68"/>
      <c r="F2" s="48" t="s">
        <v>54</v>
      </c>
      <c r="G2" s="104"/>
      <c r="H2" s="154"/>
      <c r="I2" s="9" t="s">
        <v>18</v>
      </c>
      <c r="J2" s="8" t="s">
        <v>19</v>
      </c>
      <c r="K2" s="7" t="s">
        <v>20</v>
      </c>
      <c r="L2" s="7" t="s">
        <v>32</v>
      </c>
      <c r="M2" s="7" t="s">
        <v>31</v>
      </c>
      <c r="N2" s="7" t="s">
        <v>33</v>
      </c>
      <c r="O2" s="7" t="s">
        <v>36</v>
      </c>
      <c r="P2" s="7" t="s">
        <v>35</v>
      </c>
      <c r="Q2" s="7" t="s">
        <v>34</v>
      </c>
      <c r="R2" s="7" t="s">
        <v>37</v>
      </c>
      <c r="S2" s="7" t="s">
        <v>38</v>
      </c>
      <c r="U2" s="9" t="s">
        <v>18</v>
      </c>
      <c r="V2" s="8" t="s">
        <v>19</v>
      </c>
      <c r="W2" s="7" t="s">
        <v>20</v>
      </c>
      <c r="X2" s="7" t="s">
        <v>32</v>
      </c>
      <c r="Y2" s="7" t="s">
        <v>31</v>
      </c>
      <c r="Z2" s="7" t="s">
        <v>33</v>
      </c>
      <c r="AA2" s="7" t="s">
        <v>36</v>
      </c>
      <c r="AB2" s="7" t="s">
        <v>35</v>
      </c>
      <c r="AC2" s="7" t="s">
        <v>34</v>
      </c>
      <c r="AD2" s="7" t="s">
        <v>37</v>
      </c>
      <c r="AE2" s="7" t="s">
        <v>38</v>
      </c>
      <c r="AR2" s="9" t="s">
        <v>18</v>
      </c>
      <c r="AS2" s="8" t="s">
        <v>19</v>
      </c>
      <c r="AT2" s="7" t="s">
        <v>20</v>
      </c>
      <c r="AU2" s="7" t="s">
        <v>32</v>
      </c>
      <c r="AV2" s="7" t="s">
        <v>31</v>
      </c>
      <c r="AW2" s="7" t="s">
        <v>33</v>
      </c>
      <c r="AX2" s="7" t="s">
        <v>36</v>
      </c>
      <c r="AY2" s="7" t="s">
        <v>35</v>
      </c>
      <c r="AZ2" s="7" t="s">
        <v>34</v>
      </c>
      <c r="BA2" s="7" t="s">
        <v>37</v>
      </c>
      <c r="BB2" s="7" t="s">
        <v>38</v>
      </c>
    </row>
    <row r="3" spans="2:55" x14ac:dyDescent="0.25">
      <c r="D3" s="79" t="s">
        <v>129</v>
      </c>
      <c r="E3" s="80" t="s">
        <v>129</v>
      </c>
      <c r="F3" s="84" t="s">
        <v>129</v>
      </c>
      <c r="G3" s="105"/>
      <c r="H3" s="81" t="s">
        <v>129</v>
      </c>
      <c r="I3" s="82" t="s">
        <v>129</v>
      </c>
      <c r="J3" s="83" t="s">
        <v>129</v>
      </c>
      <c r="K3" s="36" t="s">
        <v>129</v>
      </c>
      <c r="L3" s="36" t="s">
        <v>129</v>
      </c>
      <c r="M3" s="36" t="s">
        <v>129</v>
      </c>
      <c r="N3" s="36" t="s">
        <v>129</v>
      </c>
      <c r="O3" s="36" t="s">
        <v>129</v>
      </c>
      <c r="P3" s="36" t="s">
        <v>129</v>
      </c>
      <c r="Q3" s="36" t="s">
        <v>129</v>
      </c>
      <c r="R3" s="36" t="s">
        <v>129</v>
      </c>
      <c r="S3" s="36" t="s">
        <v>129</v>
      </c>
      <c r="T3" s="77"/>
      <c r="U3" s="82" t="s">
        <v>129</v>
      </c>
      <c r="V3" s="83" t="s">
        <v>129</v>
      </c>
      <c r="W3" s="36" t="s">
        <v>129</v>
      </c>
      <c r="X3" s="36" t="s">
        <v>129</v>
      </c>
      <c r="Y3" s="36" t="s">
        <v>129</v>
      </c>
      <c r="Z3" s="36" t="s">
        <v>129</v>
      </c>
      <c r="AA3" s="36" t="s">
        <v>129</v>
      </c>
      <c r="AB3" s="36" t="s">
        <v>129</v>
      </c>
      <c r="AC3" s="36" t="s">
        <v>129</v>
      </c>
      <c r="AD3" s="36" t="s">
        <v>129</v>
      </c>
      <c r="AE3" s="36" t="s">
        <v>129</v>
      </c>
      <c r="AR3" s="82"/>
      <c r="AS3" s="83"/>
      <c r="AT3" s="36"/>
      <c r="AU3" s="36"/>
      <c r="AV3" s="36"/>
      <c r="AW3" s="36"/>
      <c r="AX3" s="36"/>
      <c r="AY3" s="36"/>
      <c r="AZ3" s="36"/>
      <c r="BA3" s="36"/>
      <c r="BB3" s="36"/>
    </row>
    <row r="4" spans="2:55" x14ac:dyDescent="0.25">
      <c r="B4" t="s">
        <v>95</v>
      </c>
      <c r="C4" s="18"/>
      <c r="D4" s="45" t="s">
        <v>0</v>
      </c>
      <c r="E4" s="69">
        <v>875</v>
      </c>
      <c r="F4" s="47">
        <f>SUM(H4/2000)*E4</f>
        <v>88.8125</v>
      </c>
      <c r="G4" s="106">
        <f>VLOOKUP(D4,'Fertilizer Calc'!$B$3:$E$12,4,FALSE)</f>
        <v>203</v>
      </c>
      <c r="H4" s="102">
        <f>G4</f>
        <v>203</v>
      </c>
      <c r="I4" s="46">
        <v>0.46</v>
      </c>
      <c r="J4" s="46" t="s">
        <v>129</v>
      </c>
      <c r="K4" s="46" t="s">
        <v>129</v>
      </c>
      <c r="L4" s="46" t="s">
        <v>129</v>
      </c>
      <c r="M4" s="46" t="s">
        <v>129</v>
      </c>
      <c r="N4" s="46" t="s">
        <v>129</v>
      </c>
      <c r="O4" s="46" t="s">
        <v>129</v>
      </c>
      <c r="P4" s="46" t="s">
        <v>129</v>
      </c>
      <c r="Q4" s="46" t="s">
        <v>129</v>
      </c>
      <c r="R4" s="46" t="s">
        <v>129</v>
      </c>
      <c r="S4" s="46" t="s">
        <v>129</v>
      </c>
      <c r="U4" s="51">
        <f>SUM(H4*I4)</f>
        <v>93.38000000000001</v>
      </c>
      <c r="V4" s="54" t="s">
        <v>129</v>
      </c>
      <c r="W4" s="54" t="s">
        <v>129</v>
      </c>
      <c r="X4" s="54" t="s">
        <v>129</v>
      </c>
      <c r="Y4" s="54" t="s">
        <v>129</v>
      </c>
      <c r="Z4" s="54" t="s">
        <v>129</v>
      </c>
      <c r="AA4" s="54" t="s">
        <v>129</v>
      </c>
      <c r="AB4" s="54" t="s">
        <v>129</v>
      </c>
      <c r="AC4" s="54" t="s">
        <v>129</v>
      </c>
      <c r="AD4" s="54" t="s">
        <v>129</v>
      </c>
      <c r="AE4" s="54" t="s">
        <v>129</v>
      </c>
      <c r="AR4" s="52">
        <f>SUM(E4/920)</f>
        <v>0.95108695652173914</v>
      </c>
      <c r="AS4" s="52"/>
      <c r="AT4" s="52"/>
      <c r="AU4" s="52"/>
      <c r="AV4" s="52"/>
      <c r="AW4" s="52"/>
      <c r="AX4" s="52"/>
      <c r="AY4" s="52"/>
      <c r="AZ4" s="52"/>
      <c r="BA4" s="52"/>
      <c r="BB4" s="52"/>
    </row>
    <row r="5" spans="2:55" x14ac:dyDescent="0.25">
      <c r="B5" t="s">
        <v>94</v>
      </c>
      <c r="C5" s="18" t="s">
        <v>25</v>
      </c>
      <c r="D5" s="45" t="s">
        <v>24</v>
      </c>
      <c r="E5" s="69">
        <v>630</v>
      </c>
      <c r="F5" s="47">
        <f t="shared" ref="F5:F22" si="0">SUM(H5/2000)*E5</f>
        <v>26.775000000000002</v>
      </c>
      <c r="G5" s="106">
        <f>VLOOKUP(D5,'Fertilizer Calc'!$B$3:$E$12,4,FALSE)</f>
        <v>85</v>
      </c>
      <c r="H5" s="102">
        <f t="shared" ref="H5:H28" si="1">G5</f>
        <v>85</v>
      </c>
      <c r="I5" s="43">
        <v>0.21</v>
      </c>
      <c r="J5" s="43" t="s">
        <v>129</v>
      </c>
      <c r="K5" s="43" t="s">
        <v>129</v>
      </c>
      <c r="L5" s="43" t="s">
        <v>129</v>
      </c>
      <c r="M5" s="43" t="s">
        <v>129</v>
      </c>
      <c r="N5" s="43">
        <v>0.24</v>
      </c>
      <c r="O5" s="43" t="s">
        <v>129</v>
      </c>
      <c r="P5" s="43" t="s">
        <v>129</v>
      </c>
      <c r="Q5" s="43" t="s">
        <v>129</v>
      </c>
      <c r="R5" s="43" t="s">
        <v>129</v>
      </c>
      <c r="S5" s="43" t="s">
        <v>129</v>
      </c>
      <c r="U5" s="50">
        <f>SUM(H5*I5)</f>
        <v>17.849999999999998</v>
      </c>
      <c r="V5" s="55" t="s">
        <v>129</v>
      </c>
      <c r="W5" s="55" t="s">
        <v>129</v>
      </c>
      <c r="X5" s="55" t="s">
        <v>129</v>
      </c>
      <c r="Y5" s="55" t="s">
        <v>129</v>
      </c>
      <c r="Z5" s="50">
        <f>SUM(H5*N5)</f>
        <v>20.399999999999999</v>
      </c>
      <c r="AA5" s="55" t="s">
        <v>129</v>
      </c>
      <c r="AB5" s="55" t="s">
        <v>129</v>
      </c>
      <c r="AC5" s="55" t="s">
        <v>129</v>
      </c>
      <c r="AD5" s="55" t="s">
        <v>129</v>
      </c>
      <c r="AE5" s="55" t="s">
        <v>129</v>
      </c>
      <c r="AR5" s="10">
        <f>SUM(E5-(480*AW5))/420</f>
        <v>0.95108695652173914</v>
      </c>
      <c r="AS5" s="10"/>
      <c r="AT5" s="10"/>
      <c r="AU5" s="10"/>
      <c r="AV5" s="10"/>
      <c r="AW5" s="10">
        <f>SUM(E5-(420*AR4))/480</f>
        <v>0.48029891304347827</v>
      </c>
      <c r="AX5" s="10"/>
      <c r="AY5" s="10"/>
      <c r="AZ5" s="10"/>
      <c r="BA5" s="10"/>
      <c r="BB5" s="10"/>
      <c r="BC5" t="s">
        <v>100</v>
      </c>
    </row>
    <row r="6" spans="2:55" x14ac:dyDescent="0.25">
      <c r="B6" t="s">
        <v>93</v>
      </c>
      <c r="C6" s="18" t="s">
        <v>3</v>
      </c>
      <c r="D6" s="45" t="s">
        <v>130</v>
      </c>
      <c r="E6" s="69">
        <v>875</v>
      </c>
      <c r="F6" s="47" t="e">
        <f t="shared" si="0"/>
        <v>#N/A</v>
      </c>
      <c r="G6" s="106" t="e">
        <f>VLOOKUP(D6,'Fertilizer Calc'!$B$3:$E$12,4,FALSE)</f>
        <v>#N/A</v>
      </c>
      <c r="H6" s="102" t="e">
        <f t="shared" si="1"/>
        <v>#N/A</v>
      </c>
      <c r="I6" s="46">
        <v>0.11</v>
      </c>
      <c r="J6" s="46">
        <v>0.52</v>
      </c>
      <c r="K6" s="46" t="s">
        <v>129</v>
      </c>
      <c r="L6" s="46" t="s">
        <v>129</v>
      </c>
      <c r="M6" s="46" t="s">
        <v>129</v>
      </c>
      <c r="N6" s="46" t="s">
        <v>129</v>
      </c>
      <c r="O6" s="46" t="s">
        <v>129</v>
      </c>
      <c r="P6" s="46" t="s">
        <v>129</v>
      </c>
      <c r="Q6" s="46" t="s">
        <v>129</v>
      </c>
      <c r="R6" s="46" t="s">
        <v>129</v>
      </c>
      <c r="S6" s="46" t="s">
        <v>129</v>
      </c>
      <c r="U6" s="51" t="e">
        <f>SUM(H6*I6)</f>
        <v>#N/A</v>
      </c>
      <c r="V6" s="51" t="e">
        <f>SUM(H6*J6)</f>
        <v>#N/A</v>
      </c>
      <c r="W6" s="54" t="s">
        <v>129</v>
      </c>
      <c r="X6" s="54" t="s">
        <v>129</v>
      </c>
      <c r="Y6" s="54" t="s">
        <v>129</v>
      </c>
      <c r="Z6" s="54" t="s">
        <v>129</v>
      </c>
      <c r="AA6" s="54" t="s">
        <v>129</v>
      </c>
      <c r="AB6" s="54" t="s">
        <v>129</v>
      </c>
      <c r="AC6" s="54" t="s">
        <v>129</v>
      </c>
      <c r="AD6" s="54" t="s">
        <v>129</v>
      </c>
      <c r="AE6" s="54" t="s">
        <v>129</v>
      </c>
      <c r="AR6" s="52">
        <f>SUM(E6-(1040*AS6))/220</f>
        <v>0.95108695652173925</v>
      </c>
      <c r="AS6" s="52">
        <f>SUM(E6-(220*AR4))/1040</f>
        <v>0.64015468227424743</v>
      </c>
      <c r="AT6" s="52"/>
      <c r="AU6" s="52"/>
      <c r="AV6" s="52"/>
      <c r="AW6" s="52"/>
      <c r="AX6" s="52"/>
      <c r="AY6" s="52"/>
      <c r="AZ6" s="52"/>
      <c r="BA6" s="52"/>
      <c r="BB6" s="52"/>
      <c r="BC6" t="s">
        <v>100</v>
      </c>
    </row>
    <row r="7" spans="2:55" x14ac:dyDescent="0.25">
      <c r="B7" t="s">
        <v>92</v>
      </c>
      <c r="C7" s="18" t="s">
        <v>4</v>
      </c>
      <c r="D7" s="45" t="s">
        <v>1</v>
      </c>
      <c r="E7" s="69">
        <v>850</v>
      </c>
      <c r="F7" s="47">
        <f t="shared" si="0"/>
        <v>93.5</v>
      </c>
      <c r="G7" s="106">
        <f>VLOOKUP(D7,'Fertilizer Calc'!$B$3:$E$12,4,FALSE)</f>
        <v>220</v>
      </c>
      <c r="H7" s="102">
        <f t="shared" si="1"/>
        <v>220</v>
      </c>
      <c r="I7" s="43">
        <v>0.18</v>
      </c>
      <c r="J7" s="43">
        <v>0.46</v>
      </c>
      <c r="K7" s="43" t="s">
        <v>129</v>
      </c>
      <c r="L7" s="43" t="s">
        <v>129</v>
      </c>
      <c r="M7" s="43" t="s">
        <v>129</v>
      </c>
      <c r="N7" s="43" t="s">
        <v>129</v>
      </c>
      <c r="O7" s="43" t="s">
        <v>129</v>
      </c>
      <c r="P7" s="43" t="s">
        <v>129</v>
      </c>
      <c r="Q7" s="43" t="s">
        <v>129</v>
      </c>
      <c r="R7" s="43" t="s">
        <v>129</v>
      </c>
      <c r="S7" s="43" t="s">
        <v>129</v>
      </c>
      <c r="U7" s="50">
        <f>SUM(H7*I7)</f>
        <v>39.6</v>
      </c>
      <c r="V7" s="50">
        <f>SUM(H7*J7)</f>
        <v>101.2</v>
      </c>
      <c r="W7" s="55" t="s">
        <v>129</v>
      </c>
      <c r="X7" s="55" t="s">
        <v>129</v>
      </c>
      <c r="Y7" s="55" t="s">
        <v>129</v>
      </c>
      <c r="Z7" s="55" t="s">
        <v>129</v>
      </c>
      <c r="AA7" s="55" t="s">
        <v>129</v>
      </c>
      <c r="AB7" s="55" t="s">
        <v>129</v>
      </c>
      <c r="AC7" s="55" t="s">
        <v>129</v>
      </c>
      <c r="AD7" s="55" t="s">
        <v>129</v>
      </c>
      <c r="AE7" s="55" t="s">
        <v>129</v>
      </c>
      <c r="AR7" s="10">
        <f>SUM(E7-(920*AS7))/360</f>
        <v>0.95108695652173902</v>
      </c>
      <c r="AS7" s="10">
        <f>SUM(E7-(360*AR4))/920</f>
        <v>0.55174858223062384</v>
      </c>
      <c r="AT7" s="10"/>
      <c r="AU7" s="10"/>
      <c r="AV7" s="10"/>
      <c r="AW7" s="10"/>
      <c r="AX7" s="10"/>
      <c r="AY7" s="10"/>
      <c r="AZ7" s="10"/>
      <c r="BA7" s="10"/>
      <c r="BB7" s="10"/>
      <c r="BC7" t="s">
        <v>100</v>
      </c>
    </row>
    <row r="8" spans="2:55" x14ac:dyDescent="0.25">
      <c r="B8" t="s">
        <v>91</v>
      </c>
      <c r="C8" s="18" t="s">
        <v>5</v>
      </c>
      <c r="D8" s="45" t="s">
        <v>2</v>
      </c>
      <c r="E8" s="69">
        <v>775</v>
      </c>
      <c r="F8" s="47">
        <f t="shared" si="0"/>
        <v>65.100000000000009</v>
      </c>
      <c r="G8" s="106">
        <f>VLOOKUP(D8,'Fertilizer Calc'!$B$3:$E$12,4,FALSE)</f>
        <v>168</v>
      </c>
      <c r="H8" s="102">
        <f t="shared" si="1"/>
        <v>168</v>
      </c>
      <c r="I8" s="46" t="s">
        <v>129</v>
      </c>
      <c r="J8" s="46" t="s">
        <v>129</v>
      </c>
      <c r="K8" s="46">
        <v>0.6</v>
      </c>
      <c r="L8" s="46" t="s">
        <v>129</v>
      </c>
      <c r="M8" s="46" t="s">
        <v>129</v>
      </c>
      <c r="N8" s="46" t="s">
        <v>129</v>
      </c>
      <c r="O8" s="46" t="s">
        <v>129</v>
      </c>
      <c r="P8" s="46" t="s">
        <v>129</v>
      </c>
      <c r="Q8" s="46" t="s">
        <v>129</v>
      </c>
      <c r="R8" s="46" t="s">
        <v>129</v>
      </c>
      <c r="S8" s="46" t="s">
        <v>129</v>
      </c>
      <c r="U8" s="54" t="s">
        <v>129</v>
      </c>
      <c r="V8" s="54" t="s">
        <v>129</v>
      </c>
      <c r="W8" s="51">
        <f t="shared" ref="W8:W12" si="2">SUM(H8*K8)</f>
        <v>100.8</v>
      </c>
      <c r="X8" s="54" t="s">
        <v>129</v>
      </c>
      <c r="Y8" s="54" t="s">
        <v>129</v>
      </c>
      <c r="Z8" s="54" t="s">
        <v>129</v>
      </c>
      <c r="AA8" s="54" t="s">
        <v>129</v>
      </c>
      <c r="AB8" s="54" t="s">
        <v>129</v>
      </c>
      <c r="AC8" s="54" t="s">
        <v>129</v>
      </c>
      <c r="AD8" s="54" t="s">
        <v>129</v>
      </c>
      <c r="AE8" s="54" t="s">
        <v>129</v>
      </c>
      <c r="AR8" s="52"/>
      <c r="AS8" s="52"/>
      <c r="AT8" s="52">
        <f>SUM(E8/1200)</f>
        <v>0.64583333333333337</v>
      </c>
      <c r="AU8" s="52"/>
      <c r="AV8" s="52"/>
      <c r="AW8" s="52"/>
      <c r="AX8" s="52"/>
      <c r="AY8" s="52"/>
      <c r="AZ8" s="52"/>
      <c r="BA8" s="52"/>
      <c r="BB8" s="52"/>
    </row>
    <row r="9" spans="2:55" x14ac:dyDescent="0.25">
      <c r="B9" t="s">
        <v>90</v>
      </c>
      <c r="C9" s="18" t="s">
        <v>89</v>
      </c>
      <c r="D9" s="45" t="s">
        <v>89</v>
      </c>
      <c r="E9" s="69">
        <v>1450</v>
      </c>
      <c r="F9" s="47" t="e">
        <f t="shared" si="0"/>
        <v>#N/A</v>
      </c>
      <c r="G9" s="106" t="e">
        <f>VLOOKUP(D9,'Fertilizer Calc'!$B$3:$E$12,4,FALSE)</f>
        <v>#N/A</v>
      </c>
      <c r="H9" s="102" t="e">
        <f t="shared" si="1"/>
        <v>#N/A</v>
      </c>
      <c r="I9" s="43" t="s">
        <v>129</v>
      </c>
      <c r="J9" s="43" t="s">
        <v>129</v>
      </c>
      <c r="K9" s="43">
        <v>0.5</v>
      </c>
      <c r="L9" s="43" t="s">
        <v>129</v>
      </c>
      <c r="M9" s="43" t="s">
        <v>129</v>
      </c>
      <c r="N9" s="43">
        <v>0.17</v>
      </c>
      <c r="O9" s="43" t="s">
        <v>129</v>
      </c>
      <c r="P9" s="43" t="s">
        <v>129</v>
      </c>
      <c r="Q9" s="43" t="s">
        <v>129</v>
      </c>
      <c r="R9" s="43" t="s">
        <v>129</v>
      </c>
      <c r="S9" s="43" t="s">
        <v>129</v>
      </c>
      <c r="U9" s="55" t="s">
        <v>129</v>
      </c>
      <c r="V9" s="55" t="s">
        <v>129</v>
      </c>
      <c r="W9" s="50" t="e">
        <f t="shared" si="2"/>
        <v>#N/A</v>
      </c>
      <c r="X9" s="55" t="s">
        <v>129</v>
      </c>
      <c r="Y9" s="55" t="s">
        <v>129</v>
      </c>
      <c r="Z9" s="50" t="e">
        <f>SUM(H9*N9)</f>
        <v>#N/A</v>
      </c>
      <c r="AA9" s="55" t="s">
        <v>129</v>
      </c>
      <c r="AB9" s="55" t="s">
        <v>129</v>
      </c>
      <c r="AC9" s="55" t="s">
        <v>129</v>
      </c>
      <c r="AD9" s="55" t="s">
        <v>129</v>
      </c>
      <c r="AE9" s="55" t="s">
        <v>129</v>
      </c>
      <c r="AR9" s="10"/>
      <c r="AS9" s="10"/>
      <c r="AT9" s="10">
        <f>SUM(E9-(340*AW5))/1000</f>
        <v>1.2866983695652174</v>
      </c>
      <c r="AU9" s="10"/>
      <c r="AV9" s="10"/>
      <c r="AW9" s="10">
        <f>SUM(AW5)</f>
        <v>0.48029891304347827</v>
      </c>
      <c r="AX9" s="10"/>
      <c r="AY9" s="10"/>
      <c r="AZ9" s="10"/>
      <c r="BA9" s="10"/>
      <c r="BB9" s="10"/>
      <c r="BC9" t="s">
        <v>101</v>
      </c>
    </row>
    <row r="10" spans="2:55" x14ac:dyDescent="0.25">
      <c r="B10" t="s">
        <v>88</v>
      </c>
      <c r="C10" s="18" t="s">
        <v>87</v>
      </c>
      <c r="D10" s="45" t="s">
        <v>86</v>
      </c>
      <c r="E10" s="70">
        <v>700</v>
      </c>
      <c r="F10" s="47" t="e">
        <f t="shared" si="0"/>
        <v>#N/A</v>
      </c>
      <c r="G10" s="106" t="e">
        <f>VLOOKUP(D10,'Fertilizer Calc'!$B$3:$E$12,4,FALSE)</f>
        <v>#N/A</v>
      </c>
      <c r="H10" s="102" t="e">
        <f t="shared" si="1"/>
        <v>#N/A</v>
      </c>
      <c r="I10" s="46" t="s">
        <v>129</v>
      </c>
      <c r="J10" s="46" t="s">
        <v>129</v>
      </c>
      <c r="K10" s="46">
        <v>0.222</v>
      </c>
      <c r="L10" s="46">
        <v>0.111</v>
      </c>
      <c r="M10" s="46" t="s">
        <v>129</v>
      </c>
      <c r="N10" s="46">
        <v>0.224</v>
      </c>
      <c r="O10" s="46" t="s">
        <v>129</v>
      </c>
      <c r="P10" s="46" t="s">
        <v>129</v>
      </c>
      <c r="Q10" s="46" t="s">
        <v>129</v>
      </c>
      <c r="R10" s="46" t="s">
        <v>129</v>
      </c>
      <c r="S10" s="46" t="s">
        <v>129</v>
      </c>
      <c r="U10" s="54" t="s">
        <v>129</v>
      </c>
      <c r="V10" s="54" t="s">
        <v>129</v>
      </c>
      <c r="W10" s="51" t="e">
        <f t="shared" si="2"/>
        <v>#N/A</v>
      </c>
      <c r="X10" s="51" t="e">
        <f t="shared" ref="X10" si="3">SUM(H10*L10)</f>
        <v>#N/A</v>
      </c>
      <c r="Y10" s="54" t="s">
        <v>129</v>
      </c>
      <c r="Z10" s="51" t="e">
        <f t="shared" ref="Z10:Z20" si="4">SUM(H10*N10)</f>
        <v>#N/A</v>
      </c>
      <c r="AA10" s="54" t="s">
        <v>129</v>
      </c>
      <c r="AB10" s="54" t="s">
        <v>129</v>
      </c>
      <c r="AC10" s="54" t="s">
        <v>129</v>
      </c>
      <c r="AD10" s="54" t="s">
        <v>129</v>
      </c>
      <c r="AE10" s="54" t="s">
        <v>129</v>
      </c>
      <c r="AR10" s="52"/>
      <c r="AS10" s="52"/>
      <c r="AT10" s="52">
        <f>SUM(AT9)</f>
        <v>1.2866983695652174</v>
      </c>
      <c r="AU10" s="52">
        <f>SUM(E10-((AT10*444)+(AW10*448)))/222</f>
        <v>-0.38949544653349022</v>
      </c>
      <c r="AV10" s="52"/>
      <c r="AW10" s="52">
        <f>SUM(AW5)</f>
        <v>0.48029891304347827</v>
      </c>
      <c r="AX10" s="52"/>
      <c r="AY10" s="52"/>
      <c r="AZ10" s="52"/>
      <c r="BA10" s="52"/>
      <c r="BB10" s="52"/>
      <c r="BC10" t="s">
        <v>102</v>
      </c>
    </row>
    <row r="11" spans="2:55" x14ac:dyDescent="0.25">
      <c r="B11" t="s">
        <v>85</v>
      </c>
      <c r="C11" s="18" t="s">
        <v>77</v>
      </c>
      <c r="D11" s="45" t="s">
        <v>84</v>
      </c>
      <c r="E11" s="70">
        <v>700</v>
      </c>
      <c r="F11" s="47" t="e">
        <f t="shared" si="0"/>
        <v>#N/A</v>
      </c>
      <c r="G11" s="106" t="e">
        <f>VLOOKUP(D11,'Fertilizer Calc'!$B$3:$E$12,4,FALSE)</f>
        <v>#N/A</v>
      </c>
      <c r="H11" s="102" t="e">
        <f t="shared" si="1"/>
        <v>#N/A</v>
      </c>
      <c r="I11" s="43" t="s">
        <v>129</v>
      </c>
      <c r="J11" s="43" t="s">
        <v>129</v>
      </c>
      <c r="K11" s="43">
        <v>0.57999999999999996</v>
      </c>
      <c r="L11" s="43" t="s">
        <v>129</v>
      </c>
      <c r="M11" s="43" t="s">
        <v>129</v>
      </c>
      <c r="N11" s="43" t="s">
        <v>129</v>
      </c>
      <c r="O11" s="43" t="s">
        <v>129</v>
      </c>
      <c r="P11" s="43" t="s">
        <v>129</v>
      </c>
      <c r="Q11" s="43" t="s">
        <v>129</v>
      </c>
      <c r="R11" s="43" t="s">
        <v>129</v>
      </c>
      <c r="S11" s="43">
        <v>5.0000000000000001E-3</v>
      </c>
      <c r="U11" s="55" t="s">
        <v>129</v>
      </c>
      <c r="V11" s="55" t="s">
        <v>129</v>
      </c>
      <c r="W11" s="50" t="e">
        <f t="shared" si="2"/>
        <v>#N/A</v>
      </c>
      <c r="X11" s="55" t="s">
        <v>129</v>
      </c>
      <c r="Y11" s="55" t="s">
        <v>129</v>
      </c>
      <c r="Z11" s="55" t="s">
        <v>129</v>
      </c>
      <c r="AA11" s="55" t="s">
        <v>129</v>
      </c>
      <c r="AB11" s="55" t="s">
        <v>129</v>
      </c>
      <c r="AC11" s="55" t="s">
        <v>129</v>
      </c>
      <c r="AD11" s="55" t="s">
        <v>129</v>
      </c>
      <c r="AE11" s="50" t="e">
        <f t="shared" ref="AE11" si="5">SUM(H11*S11)</f>
        <v>#N/A</v>
      </c>
      <c r="AR11" s="10"/>
      <c r="AS11" s="10"/>
      <c r="AT11" s="10">
        <f>SUM(AT8)</f>
        <v>0.64583333333333337</v>
      </c>
      <c r="AU11" s="10"/>
      <c r="AV11" s="10"/>
      <c r="AW11" s="10"/>
      <c r="AX11" s="10"/>
      <c r="AY11" s="10"/>
      <c r="AZ11" s="10"/>
      <c r="BA11" s="10"/>
      <c r="BB11" s="10">
        <f>SUM(E11-(1160*AT11))/10</f>
        <v>-4.9166666666666741</v>
      </c>
      <c r="BC11" t="s">
        <v>103</v>
      </c>
    </row>
    <row r="12" spans="2:55" x14ac:dyDescent="0.25">
      <c r="B12" t="s">
        <v>83</v>
      </c>
      <c r="C12" s="18" t="s">
        <v>77</v>
      </c>
      <c r="D12" s="45" t="s">
        <v>82</v>
      </c>
      <c r="E12" s="70">
        <v>750</v>
      </c>
      <c r="F12" s="47" t="e">
        <f t="shared" si="0"/>
        <v>#N/A</v>
      </c>
      <c r="G12" s="106" t="e">
        <f>VLOOKUP(D12,'Fertilizer Calc'!$B$3:$E$12,4,FALSE)</f>
        <v>#N/A</v>
      </c>
      <c r="H12" s="102" t="e">
        <f t="shared" si="1"/>
        <v>#N/A</v>
      </c>
      <c r="I12" s="46" t="s">
        <v>129</v>
      </c>
      <c r="J12" s="46" t="s">
        <v>129</v>
      </c>
      <c r="K12" s="46">
        <v>0.62</v>
      </c>
      <c r="L12" s="46" t="s">
        <v>129</v>
      </c>
      <c r="M12" s="46" t="s">
        <v>129</v>
      </c>
      <c r="N12" s="46" t="s">
        <v>129</v>
      </c>
      <c r="O12" s="46" t="s">
        <v>129</v>
      </c>
      <c r="P12" s="46" t="s">
        <v>129</v>
      </c>
      <c r="Q12" s="46" t="s">
        <v>129</v>
      </c>
      <c r="R12" s="46" t="s">
        <v>129</v>
      </c>
      <c r="S12" s="46" t="s">
        <v>129</v>
      </c>
      <c r="U12" s="54" t="s">
        <v>129</v>
      </c>
      <c r="V12" s="54" t="s">
        <v>129</v>
      </c>
      <c r="W12" s="51" t="e">
        <f t="shared" si="2"/>
        <v>#N/A</v>
      </c>
      <c r="X12" s="54" t="s">
        <v>129</v>
      </c>
      <c r="Y12" s="54" t="s">
        <v>129</v>
      </c>
      <c r="Z12" s="54" t="s">
        <v>129</v>
      </c>
      <c r="AA12" s="54" t="s">
        <v>129</v>
      </c>
      <c r="AB12" s="54" t="s">
        <v>129</v>
      </c>
      <c r="AC12" s="54" t="s">
        <v>129</v>
      </c>
      <c r="AD12" s="54" t="s">
        <v>129</v>
      </c>
      <c r="AE12" s="54" t="s">
        <v>129</v>
      </c>
      <c r="AR12" s="52"/>
      <c r="AS12" s="52"/>
      <c r="AT12" s="52">
        <f>SUM(E12/1240)</f>
        <v>0.60483870967741937</v>
      </c>
      <c r="AU12" s="52"/>
      <c r="AV12" s="52"/>
      <c r="AW12" s="52"/>
      <c r="AX12" s="52"/>
      <c r="AY12" s="52"/>
      <c r="AZ12" s="52"/>
      <c r="BA12" s="52"/>
      <c r="BB12" s="52"/>
    </row>
    <row r="13" spans="2:55" x14ac:dyDescent="0.25">
      <c r="C13" s="18"/>
      <c r="D13" s="45" t="s">
        <v>126</v>
      </c>
      <c r="E13" s="69">
        <v>950</v>
      </c>
      <c r="F13" s="47" t="e">
        <f>SUM(H13/2000)*E13</f>
        <v>#N/A</v>
      </c>
      <c r="G13" s="106" t="e">
        <f>VLOOKUP(D13,'Fertilizer Calc'!$B$3:$E$12,4,FALSE)</f>
        <v>#N/A</v>
      </c>
      <c r="H13" s="102" t="e">
        <f t="shared" si="1"/>
        <v>#N/A</v>
      </c>
      <c r="I13" s="43">
        <v>0.44</v>
      </c>
      <c r="J13" s="43" t="s">
        <v>129</v>
      </c>
      <c r="K13" s="43" t="s">
        <v>129</v>
      </c>
      <c r="L13" s="43" t="s">
        <v>129</v>
      </c>
      <c r="M13" s="43" t="s">
        <v>129</v>
      </c>
      <c r="N13" s="43" t="s">
        <v>129</v>
      </c>
      <c r="O13" s="43" t="s">
        <v>129</v>
      </c>
      <c r="P13" s="43" t="s">
        <v>129</v>
      </c>
      <c r="Q13" s="43" t="s">
        <v>129</v>
      </c>
      <c r="R13" s="43" t="s">
        <v>129</v>
      </c>
      <c r="S13" s="43" t="s">
        <v>129</v>
      </c>
      <c r="U13" s="50" t="e">
        <f>SUM(H13*I13)</f>
        <v>#N/A</v>
      </c>
      <c r="V13" s="55" t="s">
        <v>129</v>
      </c>
      <c r="W13" s="55" t="s">
        <v>129</v>
      </c>
      <c r="X13" s="55" t="s">
        <v>129</v>
      </c>
      <c r="Y13" s="55" t="s">
        <v>129</v>
      </c>
      <c r="Z13" s="55" t="s">
        <v>129</v>
      </c>
      <c r="AA13" s="55" t="s">
        <v>129</v>
      </c>
      <c r="AB13" s="55" t="s">
        <v>129</v>
      </c>
      <c r="AC13" s="55" t="s">
        <v>129</v>
      </c>
      <c r="AD13" s="55" t="s">
        <v>129</v>
      </c>
      <c r="AE13" s="55" t="s">
        <v>129</v>
      </c>
      <c r="AR13" s="10">
        <f>SUM(E13/880)</f>
        <v>1.0795454545454546</v>
      </c>
      <c r="AS13" s="10"/>
      <c r="AT13" s="10"/>
      <c r="AU13" s="10"/>
      <c r="AV13" s="10"/>
      <c r="AW13" s="10"/>
      <c r="AX13" s="10"/>
      <c r="AY13" s="10"/>
      <c r="AZ13" s="10"/>
      <c r="BA13" s="10"/>
      <c r="BB13" s="10"/>
    </row>
    <row r="14" spans="2:55" x14ac:dyDescent="0.25">
      <c r="B14" t="s">
        <v>78</v>
      </c>
      <c r="C14" s="18" t="s">
        <v>77</v>
      </c>
      <c r="D14" s="45" t="s">
        <v>81</v>
      </c>
      <c r="E14" s="70">
        <v>850</v>
      </c>
      <c r="F14" s="47" t="e">
        <f t="shared" si="0"/>
        <v>#N/A</v>
      </c>
      <c r="G14" s="106" t="e">
        <f>VLOOKUP(D14,'Fertilizer Calc'!$B$3:$E$12,4,FALSE)</f>
        <v>#N/A</v>
      </c>
      <c r="H14" s="102" t="e">
        <f t="shared" si="1"/>
        <v>#N/A</v>
      </c>
      <c r="I14" s="46">
        <v>0.12</v>
      </c>
      <c r="J14" s="46">
        <v>0.4</v>
      </c>
      <c r="K14" s="46" t="s">
        <v>129</v>
      </c>
      <c r="L14" s="46" t="s">
        <v>129</v>
      </c>
      <c r="M14" s="46" t="s">
        <v>129</v>
      </c>
      <c r="N14" s="46">
        <v>0.1</v>
      </c>
      <c r="O14" s="46" t="s">
        <v>129</v>
      </c>
      <c r="P14" s="46" t="s">
        <v>129</v>
      </c>
      <c r="Q14" s="46" t="s">
        <v>129</v>
      </c>
      <c r="R14" s="46" t="s">
        <v>129</v>
      </c>
      <c r="S14" s="46" t="s">
        <v>129</v>
      </c>
      <c r="U14" s="51" t="e">
        <f t="shared" ref="U14:U16" si="6">SUM(H14*I14)</f>
        <v>#N/A</v>
      </c>
      <c r="V14" s="51" t="e">
        <f t="shared" ref="V14:V16" si="7">SUM(H14*J14)</f>
        <v>#N/A</v>
      </c>
      <c r="W14" s="54" t="s">
        <v>129</v>
      </c>
      <c r="X14" s="54" t="s">
        <v>129</v>
      </c>
      <c r="Y14" s="54" t="s">
        <v>129</v>
      </c>
      <c r="Z14" s="51" t="e">
        <f t="shared" si="4"/>
        <v>#N/A</v>
      </c>
      <c r="AA14" s="54" t="s">
        <v>129</v>
      </c>
      <c r="AB14" s="54" t="s">
        <v>129</v>
      </c>
      <c r="AC14" s="54" t="s">
        <v>129</v>
      </c>
      <c r="AD14" s="54" t="s">
        <v>129</v>
      </c>
      <c r="AE14" s="54" t="s">
        <v>129</v>
      </c>
      <c r="AR14" s="52">
        <f>SUM(AR4)</f>
        <v>0.95108695652173914</v>
      </c>
      <c r="AS14" s="52">
        <f>SUM(AS6)</f>
        <v>0.64015468227424743</v>
      </c>
      <c r="AT14" s="52"/>
      <c r="AU14" s="52"/>
      <c r="AV14" s="52"/>
      <c r="AW14" s="52">
        <f>SUM(E14-((AR14*240)+(AS14*800)))/200</f>
        <v>0.54807692307692324</v>
      </c>
      <c r="AX14" s="52"/>
      <c r="AY14" s="52"/>
      <c r="AZ14" s="52"/>
      <c r="BA14" s="52"/>
      <c r="BB14" s="52"/>
      <c r="BC14" t="s">
        <v>119</v>
      </c>
    </row>
    <row r="15" spans="2:55" x14ac:dyDescent="0.25">
      <c r="B15" t="s">
        <v>80</v>
      </c>
      <c r="C15" s="18" t="s">
        <v>77</v>
      </c>
      <c r="D15" s="45" t="s">
        <v>79</v>
      </c>
      <c r="E15" s="70">
        <v>875</v>
      </c>
      <c r="F15" s="47" t="e">
        <f t="shared" si="0"/>
        <v>#N/A</v>
      </c>
      <c r="G15" s="106" t="e">
        <f>VLOOKUP(D15,'Fertilizer Calc'!$B$3:$E$12,4,FALSE)</f>
        <v>#N/A</v>
      </c>
      <c r="H15" s="102" t="e">
        <f t="shared" si="1"/>
        <v>#N/A</v>
      </c>
      <c r="I15" s="43">
        <v>0.13</v>
      </c>
      <c r="J15" s="43">
        <v>0.33</v>
      </c>
      <c r="K15" s="43" t="s">
        <v>129</v>
      </c>
      <c r="L15" s="43" t="s">
        <v>129</v>
      </c>
      <c r="M15" s="43" t="s">
        <v>129</v>
      </c>
      <c r="N15" s="43">
        <v>0.15</v>
      </c>
      <c r="O15" s="43" t="s">
        <v>129</v>
      </c>
      <c r="P15" s="43" t="s">
        <v>129</v>
      </c>
      <c r="Q15" s="43" t="s">
        <v>129</v>
      </c>
      <c r="R15" s="43" t="s">
        <v>129</v>
      </c>
      <c r="S15" s="43" t="s">
        <v>129</v>
      </c>
      <c r="U15" s="50" t="e">
        <f t="shared" si="6"/>
        <v>#N/A</v>
      </c>
      <c r="V15" s="50" t="e">
        <f t="shared" si="7"/>
        <v>#N/A</v>
      </c>
      <c r="W15" s="55" t="s">
        <v>129</v>
      </c>
      <c r="X15" s="55" t="s">
        <v>129</v>
      </c>
      <c r="Y15" s="55" t="s">
        <v>129</v>
      </c>
      <c r="Z15" s="50" t="e">
        <f t="shared" si="4"/>
        <v>#N/A</v>
      </c>
      <c r="AA15" s="55" t="s">
        <v>129</v>
      </c>
      <c r="AB15" s="55" t="s">
        <v>129</v>
      </c>
      <c r="AC15" s="55" t="s">
        <v>129</v>
      </c>
      <c r="AD15" s="55" t="s">
        <v>129</v>
      </c>
      <c r="AE15" s="55" t="s">
        <v>129</v>
      </c>
      <c r="AR15" s="10">
        <f>SUM(AR4)</f>
        <v>0.95108695652173914</v>
      </c>
      <c r="AS15" s="10">
        <f>SUM(AS6)</f>
        <v>0.64015468227424743</v>
      </c>
      <c r="AT15" s="10"/>
      <c r="AU15" s="10"/>
      <c r="AV15" s="10"/>
      <c r="AW15" s="10">
        <f>SUM(E15-((AR15*260)+(AS15*660)))/300</f>
        <v>0.68405100334448166</v>
      </c>
      <c r="AX15" s="10"/>
      <c r="AY15" s="10"/>
      <c r="AZ15" s="10"/>
      <c r="BA15" s="10"/>
      <c r="BB15" s="10"/>
      <c r="BC15" t="s">
        <v>119</v>
      </c>
    </row>
    <row r="16" spans="2:55" x14ac:dyDescent="0.25">
      <c r="B16" t="s">
        <v>78</v>
      </c>
      <c r="C16" s="18" t="s">
        <v>77</v>
      </c>
      <c r="D16" s="45" t="s">
        <v>128</v>
      </c>
      <c r="E16" s="70">
        <v>875</v>
      </c>
      <c r="F16" s="47" t="e">
        <f t="shared" si="0"/>
        <v>#N/A</v>
      </c>
      <c r="G16" s="106" t="e">
        <f>VLOOKUP(D16,'Fertilizer Calc'!$B$3:$E$12,4,FALSE)</f>
        <v>#N/A</v>
      </c>
      <c r="H16" s="102" t="e">
        <f t="shared" si="1"/>
        <v>#N/A</v>
      </c>
      <c r="I16" s="46">
        <v>0.12</v>
      </c>
      <c r="J16" s="46">
        <v>0.4</v>
      </c>
      <c r="K16" s="46" t="s">
        <v>129</v>
      </c>
      <c r="L16" s="46" t="s">
        <v>129</v>
      </c>
      <c r="M16" s="46" t="s">
        <v>129</v>
      </c>
      <c r="N16" s="46">
        <v>0.1</v>
      </c>
      <c r="O16" s="46">
        <v>0.01</v>
      </c>
      <c r="P16" s="46" t="s">
        <v>129</v>
      </c>
      <c r="Q16" s="46" t="s">
        <v>129</v>
      </c>
      <c r="R16" s="46" t="s">
        <v>129</v>
      </c>
      <c r="S16" s="46" t="s">
        <v>129</v>
      </c>
      <c r="U16" s="51" t="e">
        <f t="shared" si="6"/>
        <v>#N/A</v>
      </c>
      <c r="V16" s="51" t="e">
        <f t="shared" si="7"/>
        <v>#N/A</v>
      </c>
      <c r="W16" s="54" t="s">
        <v>129</v>
      </c>
      <c r="X16" s="54" t="s">
        <v>129</v>
      </c>
      <c r="Y16" s="54" t="s">
        <v>129</v>
      </c>
      <c r="Z16" s="51" t="e">
        <f t="shared" si="4"/>
        <v>#N/A</v>
      </c>
      <c r="AA16" s="51" t="e">
        <f t="shared" ref="AA16" si="8">SUM(H16*O16)</f>
        <v>#N/A</v>
      </c>
      <c r="AB16" s="54" t="s">
        <v>129</v>
      </c>
      <c r="AC16" s="54" t="s">
        <v>129</v>
      </c>
      <c r="AD16" s="54" t="s">
        <v>129</v>
      </c>
      <c r="AE16" s="54" t="s">
        <v>129</v>
      </c>
      <c r="AR16" s="52">
        <f>SUM(AR4)</f>
        <v>0.95108695652173914</v>
      </c>
      <c r="AS16" s="52">
        <f>SUM(AS6)</f>
        <v>0.64015468227424743</v>
      </c>
      <c r="AT16" s="52"/>
      <c r="AU16" s="52"/>
      <c r="AV16" s="52"/>
      <c r="AW16" s="52">
        <f>SUM(AW5)</f>
        <v>0.48029891304347827</v>
      </c>
      <c r="AX16" s="52">
        <f>SUM(E16-((AR16*240)+(AS16*800)+(AW16*200)))/20</f>
        <v>1.9277801003344508</v>
      </c>
      <c r="AY16" s="52"/>
      <c r="AZ16" s="52"/>
      <c r="BA16" s="52"/>
      <c r="BB16" s="52"/>
      <c r="BC16" t="s">
        <v>120</v>
      </c>
    </row>
    <row r="17" spans="2:55" x14ac:dyDescent="0.25">
      <c r="D17" s="66" t="s">
        <v>125</v>
      </c>
      <c r="E17" s="71">
        <v>625</v>
      </c>
      <c r="F17" s="67" t="e">
        <f t="shared" si="0"/>
        <v>#N/A</v>
      </c>
      <c r="G17" s="106" t="e">
        <f>VLOOKUP(D17,'Fertilizer Calc'!$B$3:$E$12,4,FALSE)</f>
        <v>#N/A</v>
      </c>
      <c r="H17" s="102" t="e">
        <f t="shared" si="1"/>
        <v>#N/A</v>
      </c>
      <c r="I17" s="43" t="s">
        <v>129</v>
      </c>
      <c r="J17" s="43" t="s">
        <v>129</v>
      </c>
      <c r="K17" s="43" t="s">
        <v>129</v>
      </c>
      <c r="L17" s="43" t="s">
        <v>129</v>
      </c>
      <c r="M17" s="43" t="s">
        <v>129</v>
      </c>
      <c r="N17" s="43">
        <v>0.9</v>
      </c>
      <c r="O17" s="43" t="s">
        <v>129</v>
      </c>
      <c r="P17" s="43" t="s">
        <v>129</v>
      </c>
      <c r="Q17" s="43" t="s">
        <v>129</v>
      </c>
      <c r="R17" s="43" t="s">
        <v>129</v>
      </c>
      <c r="S17" s="43" t="s">
        <v>129</v>
      </c>
      <c r="U17" s="55" t="s">
        <v>129</v>
      </c>
      <c r="V17" s="55" t="s">
        <v>129</v>
      </c>
      <c r="W17" s="55" t="s">
        <v>129</v>
      </c>
      <c r="X17" s="55" t="s">
        <v>129</v>
      </c>
      <c r="Y17" s="55" t="s">
        <v>129</v>
      </c>
      <c r="Z17" s="50" t="e">
        <f>SUM(H17*N17)</f>
        <v>#N/A</v>
      </c>
      <c r="AA17" s="55" t="s">
        <v>129</v>
      </c>
      <c r="AB17" s="55" t="s">
        <v>129</v>
      </c>
      <c r="AC17" s="55" t="s">
        <v>129</v>
      </c>
      <c r="AD17" s="55" t="s">
        <v>129</v>
      </c>
      <c r="AE17" s="55" t="s">
        <v>129</v>
      </c>
      <c r="AR17" s="10"/>
      <c r="AS17" s="10"/>
      <c r="AT17" s="10"/>
      <c r="AU17" s="10"/>
      <c r="AV17" s="10"/>
      <c r="AW17" s="10">
        <f>SUM(E17/1800)</f>
        <v>0.34722222222222221</v>
      </c>
      <c r="AX17" s="10"/>
      <c r="AY17" s="10"/>
      <c r="AZ17" s="10"/>
      <c r="BA17" s="10"/>
      <c r="BB17" s="10"/>
    </row>
    <row r="18" spans="2:55" x14ac:dyDescent="0.25">
      <c r="B18" t="s">
        <v>72</v>
      </c>
      <c r="C18" s="18"/>
      <c r="D18" s="45" t="s">
        <v>71</v>
      </c>
      <c r="E18" s="70">
        <v>2400</v>
      </c>
      <c r="F18" s="47" t="e">
        <f>SUM(H18/2000)*E18</f>
        <v>#N/A</v>
      </c>
      <c r="G18" s="106" t="e">
        <f>VLOOKUP(D18,'Fertilizer Calc'!$B$3:$E$12,4,FALSE)</f>
        <v>#N/A</v>
      </c>
      <c r="H18" s="102" t="e">
        <f t="shared" si="1"/>
        <v>#N/A</v>
      </c>
      <c r="I18" s="46" t="s">
        <v>129</v>
      </c>
      <c r="J18" s="46" t="s">
        <v>129</v>
      </c>
      <c r="K18" s="46" t="s">
        <v>129</v>
      </c>
      <c r="L18" s="46" t="s">
        <v>129</v>
      </c>
      <c r="M18" s="46" t="s">
        <v>129</v>
      </c>
      <c r="N18" s="46">
        <v>0.17</v>
      </c>
      <c r="O18" s="46">
        <v>0.35</v>
      </c>
      <c r="P18" s="46" t="s">
        <v>129</v>
      </c>
      <c r="Q18" s="46" t="s">
        <v>129</v>
      </c>
      <c r="R18" s="46" t="s">
        <v>129</v>
      </c>
      <c r="S18" s="46" t="s">
        <v>129</v>
      </c>
      <c r="U18" s="54" t="s">
        <v>129</v>
      </c>
      <c r="V18" s="54" t="s">
        <v>129</v>
      </c>
      <c r="W18" s="54" t="s">
        <v>129</v>
      </c>
      <c r="X18" s="54" t="s">
        <v>129</v>
      </c>
      <c r="Y18" s="54" t="s">
        <v>129</v>
      </c>
      <c r="Z18" s="51" t="e">
        <f>SUM(H18*N18)</f>
        <v>#N/A</v>
      </c>
      <c r="AA18" s="51" t="e">
        <f>SUM(H18*O18)</f>
        <v>#N/A</v>
      </c>
      <c r="AB18" s="54" t="s">
        <v>129</v>
      </c>
      <c r="AC18" s="54" t="s">
        <v>129</v>
      </c>
      <c r="AD18" s="54" t="s">
        <v>129</v>
      </c>
      <c r="AE18" s="54" t="s">
        <v>129</v>
      </c>
      <c r="AR18" s="52"/>
      <c r="AS18" s="52"/>
      <c r="AT18" s="52"/>
      <c r="AU18" s="52"/>
      <c r="AV18" s="52"/>
      <c r="AW18" s="52">
        <f>SUM(AW5)</f>
        <v>0.48029891304347827</v>
      </c>
      <c r="AX18" s="52">
        <f>SUM(E18-(340*AW18))/700</f>
        <v>3.1952833850931679</v>
      </c>
      <c r="AY18" s="52"/>
      <c r="AZ18" s="52"/>
      <c r="BA18" s="52"/>
      <c r="BB18" s="52"/>
      <c r="BC18" t="s">
        <v>101</v>
      </c>
    </row>
    <row r="19" spans="2:55" x14ac:dyDescent="0.25">
      <c r="C19" s="18"/>
      <c r="D19" s="45" t="s">
        <v>123</v>
      </c>
      <c r="E19" s="70">
        <v>2300</v>
      </c>
      <c r="F19" s="47" t="e">
        <f>SUM(H19/2000)*E19</f>
        <v>#N/A</v>
      </c>
      <c r="G19" s="106" t="e">
        <f>VLOOKUP(D19,'Fertilizer Calc'!$B$3:$E$12,4,FALSE)</f>
        <v>#N/A</v>
      </c>
      <c r="H19" s="102" t="e">
        <f t="shared" si="1"/>
        <v>#N/A</v>
      </c>
      <c r="I19" s="43" t="s">
        <v>129</v>
      </c>
      <c r="J19" s="43" t="s">
        <v>129</v>
      </c>
      <c r="K19" s="43" t="s">
        <v>129</v>
      </c>
      <c r="L19" s="43" t="s">
        <v>129</v>
      </c>
      <c r="M19" s="43" t="s">
        <v>129</v>
      </c>
      <c r="N19" s="43">
        <v>0.17</v>
      </c>
      <c r="O19" s="43" t="s">
        <v>129</v>
      </c>
      <c r="P19" s="43">
        <v>0.32</v>
      </c>
      <c r="Q19" s="43" t="s">
        <v>129</v>
      </c>
      <c r="R19" s="43" t="s">
        <v>129</v>
      </c>
      <c r="S19" s="43" t="s">
        <v>129</v>
      </c>
      <c r="U19" s="55" t="s">
        <v>129</v>
      </c>
      <c r="V19" s="55" t="s">
        <v>129</v>
      </c>
      <c r="W19" s="55" t="s">
        <v>129</v>
      </c>
      <c r="X19" s="55" t="s">
        <v>129</v>
      </c>
      <c r="Y19" s="55" t="s">
        <v>129</v>
      </c>
      <c r="Z19" s="50" t="e">
        <f>SUM(H19*N19)</f>
        <v>#N/A</v>
      </c>
      <c r="AA19" s="55" t="s">
        <v>129</v>
      </c>
      <c r="AB19" s="50" t="e">
        <f>SUM(H19*P19)</f>
        <v>#N/A</v>
      </c>
      <c r="AC19" s="55" t="s">
        <v>129</v>
      </c>
      <c r="AD19" s="55" t="s">
        <v>129</v>
      </c>
      <c r="AE19" s="55" t="s">
        <v>129</v>
      </c>
      <c r="AR19" s="10"/>
      <c r="AS19" s="10"/>
      <c r="AT19" s="10"/>
      <c r="AU19" s="10"/>
      <c r="AV19" s="10"/>
      <c r="AW19" s="10">
        <f>SUM(AW5)</f>
        <v>0.48029891304347827</v>
      </c>
      <c r="AX19" s="10"/>
      <c r="AY19" s="10">
        <f>SUM(E19-(340*AW19))/640</f>
        <v>3.3385912024456523</v>
      </c>
      <c r="AZ19" s="10"/>
      <c r="BA19" s="10"/>
      <c r="BB19" s="10"/>
      <c r="BC19" t="s">
        <v>101</v>
      </c>
    </row>
    <row r="20" spans="2:55" x14ac:dyDescent="0.25">
      <c r="C20" s="18"/>
      <c r="D20" s="45" t="s">
        <v>73</v>
      </c>
      <c r="E20" s="72">
        <v>4100</v>
      </c>
      <c r="F20" s="47" t="e">
        <f t="shared" si="0"/>
        <v>#N/A</v>
      </c>
      <c r="G20" s="106" t="e">
        <f>VLOOKUP(D20,'Fertilizer Calc'!$B$3:$E$12,4,FALSE)</f>
        <v>#N/A</v>
      </c>
      <c r="H20" s="102" t="e">
        <f t="shared" si="1"/>
        <v>#N/A</v>
      </c>
      <c r="I20" s="46" t="s">
        <v>129</v>
      </c>
      <c r="J20" s="46" t="s">
        <v>129</v>
      </c>
      <c r="K20" s="46" t="s">
        <v>129</v>
      </c>
      <c r="L20" s="46" t="s">
        <v>129</v>
      </c>
      <c r="M20" s="46" t="s">
        <v>129</v>
      </c>
      <c r="N20" s="46">
        <v>0.12</v>
      </c>
      <c r="O20" s="46" t="s">
        <v>129</v>
      </c>
      <c r="P20" s="46" t="s">
        <v>129</v>
      </c>
      <c r="Q20" s="46" t="s">
        <v>129</v>
      </c>
      <c r="R20" s="46">
        <v>0.25</v>
      </c>
      <c r="S20" s="46" t="s">
        <v>129</v>
      </c>
      <c r="U20" s="54" t="s">
        <v>129</v>
      </c>
      <c r="V20" s="54" t="s">
        <v>129</v>
      </c>
      <c r="W20" s="54" t="s">
        <v>129</v>
      </c>
      <c r="X20" s="54" t="s">
        <v>129</v>
      </c>
      <c r="Y20" s="54" t="s">
        <v>129</v>
      </c>
      <c r="Z20" s="51" t="e">
        <f t="shared" si="4"/>
        <v>#N/A</v>
      </c>
      <c r="AA20" s="54" t="s">
        <v>129</v>
      </c>
      <c r="AB20" s="54" t="s">
        <v>129</v>
      </c>
      <c r="AC20" s="54" t="s">
        <v>129</v>
      </c>
      <c r="AD20" s="51" t="e">
        <f t="shared" ref="AD20" si="9">SUM(H20*R20)</f>
        <v>#N/A</v>
      </c>
      <c r="AE20" s="54" t="s">
        <v>129</v>
      </c>
      <c r="AR20" s="52"/>
      <c r="AS20" s="52"/>
      <c r="AT20" s="52"/>
      <c r="AU20" s="52"/>
      <c r="AV20" s="52"/>
      <c r="AW20" s="52">
        <f>SUM(AW5)</f>
        <v>0.48029891304347827</v>
      </c>
      <c r="AX20" s="52"/>
      <c r="AY20" s="52"/>
      <c r="AZ20" s="52"/>
      <c r="BA20" s="52">
        <f>SUM(E20-(240*AW20))/500</f>
        <v>7.9694565217391302</v>
      </c>
      <c r="BB20" s="52"/>
      <c r="BC20" t="s">
        <v>101</v>
      </c>
    </row>
    <row r="21" spans="2:55" x14ac:dyDescent="0.25">
      <c r="B21" t="s">
        <v>74</v>
      </c>
      <c r="C21" s="18"/>
      <c r="D21" s="45" t="s">
        <v>203</v>
      </c>
      <c r="E21" s="70">
        <v>1.55</v>
      </c>
      <c r="F21" s="47" t="e">
        <f>SUM(H21*E21)</f>
        <v>#N/A</v>
      </c>
      <c r="G21" s="106" t="e">
        <f>VLOOKUP(D21,'Fertilizer Calc'!$B$3:$E$12,4,FALSE)</f>
        <v>#N/A</v>
      </c>
      <c r="H21" s="102" t="e">
        <f t="shared" si="1"/>
        <v>#N/A</v>
      </c>
      <c r="I21" s="43" t="s">
        <v>129</v>
      </c>
      <c r="J21" s="43" t="s">
        <v>129</v>
      </c>
      <c r="K21" s="43" t="s">
        <v>129</v>
      </c>
      <c r="L21" s="43" t="s">
        <v>129</v>
      </c>
      <c r="M21" s="43" t="s">
        <v>129</v>
      </c>
      <c r="N21" s="43" t="s">
        <v>129</v>
      </c>
      <c r="O21" s="43" t="s">
        <v>129</v>
      </c>
      <c r="P21" s="43" t="s">
        <v>129</v>
      </c>
      <c r="Q21" s="43" t="s">
        <v>129</v>
      </c>
      <c r="R21" s="43" t="s">
        <v>129</v>
      </c>
      <c r="S21" s="43">
        <v>0.20899999999999999</v>
      </c>
      <c r="U21" s="55" t="s">
        <v>129</v>
      </c>
      <c r="V21" s="55" t="s">
        <v>129</v>
      </c>
      <c r="W21" s="55" t="s">
        <v>129</v>
      </c>
      <c r="X21" s="55" t="s">
        <v>129</v>
      </c>
      <c r="Y21" s="55" t="s">
        <v>129</v>
      </c>
      <c r="Z21" s="55" t="s">
        <v>129</v>
      </c>
      <c r="AA21" s="55" t="s">
        <v>129</v>
      </c>
      <c r="AB21" s="55" t="s">
        <v>129</v>
      </c>
      <c r="AC21" s="55" t="s">
        <v>129</v>
      </c>
      <c r="AD21" s="55" t="s">
        <v>129</v>
      </c>
      <c r="AE21" s="50" t="e">
        <f>SUM(H21*S21)</f>
        <v>#N/A</v>
      </c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>
        <f>SUM(E21/S21)</f>
        <v>7.4162679425837323</v>
      </c>
    </row>
    <row r="22" spans="2:55" x14ac:dyDescent="0.25">
      <c r="C22" s="18"/>
      <c r="D22" s="45" t="s">
        <v>202</v>
      </c>
      <c r="E22" s="70">
        <v>1900</v>
      </c>
      <c r="F22" s="47" t="e">
        <f t="shared" si="0"/>
        <v>#N/A</v>
      </c>
      <c r="G22" s="106" t="e">
        <f>VLOOKUP(D22,'Fertilizer Calc'!$B$3:$E$12,4,FALSE)</f>
        <v>#N/A</v>
      </c>
      <c r="H22" s="102" t="e">
        <f t="shared" si="1"/>
        <v>#N/A</v>
      </c>
      <c r="I22" s="46" t="s">
        <v>129</v>
      </c>
      <c r="J22" s="46" t="s">
        <v>129</v>
      </c>
      <c r="K22" s="46" t="s">
        <v>129</v>
      </c>
      <c r="L22" s="46" t="s">
        <v>129</v>
      </c>
      <c r="M22" s="46" t="s">
        <v>129</v>
      </c>
      <c r="N22" s="46" t="s">
        <v>129</v>
      </c>
      <c r="O22" s="46" t="s">
        <v>129</v>
      </c>
      <c r="P22" s="46" t="s">
        <v>129</v>
      </c>
      <c r="Q22" s="46" t="s">
        <v>129</v>
      </c>
      <c r="R22" s="46" t="s">
        <v>129</v>
      </c>
      <c r="S22" s="46">
        <v>0.21</v>
      </c>
      <c r="U22" s="54" t="s">
        <v>129</v>
      </c>
      <c r="V22" s="54" t="s">
        <v>129</v>
      </c>
      <c r="W22" s="54" t="s">
        <v>129</v>
      </c>
      <c r="X22" s="54" t="s">
        <v>129</v>
      </c>
      <c r="Y22" s="54" t="s">
        <v>129</v>
      </c>
      <c r="Z22" s="54" t="s">
        <v>129</v>
      </c>
      <c r="AA22" s="54" t="s">
        <v>129</v>
      </c>
      <c r="AB22" s="54" t="s">
        <v>129</v>
      </c>
      <c r="AC22" s="54" t="s">
        <v>129</v>
      </c>
      <c r="AD22" s="54" t="s">
        <v>129</v>
      </c>
      <c r="AE22" s="51" t="e">
        <f>SUM(H22*S22)</f>
        <v>#N/A</v>
      </c>
      <c r="AR22" s="52"/>
      <c r="AS22" s="52"/>
      <c r="AT22" s="52"/>
      <c r="AU22" s="52"/>
      <c r="AV22" s="52"/>
      <c r="AW22" s="52"/>
      <c r="AX22" s="52"/>
      <c r="AY22" s="52"/>
      <c r="AZ22" s="52"/>
      <c r="BA22" s="52"/>
      <c r="BB22" s="52">
        <f>(SUM(E22/300))</f>
        <v>6.333333333333333</v>
      </c>
    </row>
    <row r="23" spans="2:55" x14ac:dyDescent="0.25">
      <c r="B23" t="s">
        <v>76</v>
      </c>
      <c r="C23" s="18"/>
      <c r="D23" s="45" t="s">
        <v>75</v>
      </c>
      <c r="E23" s="70">
        <v>2500</v>
      </c>
      <c r="F23" s="47" t="e">
        <f>SUM(H23/2000)*E23</f>
        <v>#N/A</v>
      </c>
      <c r="G23" s="106" t="e">
        <f>VLOOKUP(D23,'Fertilizer Calc'!$B$3:$E$12,4,FALSE)</f>
        <v>#N/A</v>
      </c>
      <c r="H23" s="102" t="e">
        <f t="shared" si="1"/>
        <v>#N/A</v>
      </c>
      <c r="I23" s="43" t="s">
        <v>129</v>
      </c>
      <c r="J23" s="43" t="s">
        <v>129</v>
      </c>
      <c r="K23" s="43" t="s">
        <v>129</v>
      </c>
      <c r="L23" s="43">
        <v>5.5999999999999999E-3</v>
      </c>
      <c r="M23" s="43">
        <v>0.2</v>
      </c>
      <c r="N23" s="43">
        <v>0.14000000000000001</v>
      </c>
      <c r="O23" s="43">
        <v>6.0000000000000001E-3</v>
      </c>
      <c r="P23" s="43">
        <v>2.3999999999999998E-3</v>
      </c>
      <c r="Q23" s="43">
        <v>3.2000000000000002E-3</v>
      </c>
      <c r="R23" s="43">
        <v>8.0000000000000004E-4</v>
      </c>
      <c r="S23" s="43">
        <v>8.0000000000000004E-4</v>
      </c>
      <c r="U23" s="55" t="s">
        <v>129</v>
      </c>
      <c r="V23" s="55" t="s">
        <v>129</v>
      </c>
      <c r="W23" s="55" t="s">
        <v>129</v>
      </c>
      <c r="X23" s="50" t="e">
        <f>SUM(H23*L23)</f>
        <v>#N/A</v>
      </c>
      <c r="Y23" s="50" t="e">
        <f>SUM(H23*M23)</f>
        <v>#N/A</v>
      </c>
      <c r="Z23" s="50" t="e">
        <f>SUM(H23*N23)</f>
        <v>#N/A</v>
      </c>
      <c r="AA23" s="50" t="e">
        <f>SUM(H23*O23)</f>
        <v>#N/A</v>
      </c>
      <c r="AB23" s="50" t="e">
        <f t="shared" ref="AB23" si="10">SUM(H23*P23)</f>
        <v>#N/A</v>
      </c>
      <c r="AC23" s="50" t="e">
        <f t="shared" ref="AC23" si="11">SUM(H23*Q23)</f>
        <v>#N/A</v>
      </c>
      <c r="AD23" s="50" t="e">
        <f>SUM(H23*R23)</f>
        <v>#N/A</v>
      </c>
      <c r="AE23" s="50" t="e">
        <f>SUM(H23*S23)</f>
        <v>#N/A</v>
      </c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</row>
    <row r="24" spans="2:55" x14ac:dyDescent="0.25">
      <c r="C24" s="33" t="s">
        <v>65</v>
      </c>
      <c r="D24" s="45" t="s">
        <v>64</v>
      </c>
      <c r="E24" s="70">
        <v>50</v>
      </c>
      <c r="F24" s="44" t="e">
        <f t="shared" ref="F24:F28" si="12">SUM(H24/2000)*E24</f>
        <v>#N/A</v>
      </c>
      <c r="G24" s="106" t="e">
        <f>VLOOKUP(D24,'Fertilizer Calc'!$B$3:$E$12,4,FALSE)</f>
        <v>#N/A</v>
      </c>
      <c r="H24" s="102" t="e">
        <f t="shared" si="1"/>
        <v>#N/A</v>
      </c>
      <c r="I24" s="46" t="s">
        <v>129</v>
      </c>
      <c r="J24" s="46" t="s">
        <v>129</v>
      </c>
      <c r="K24" s="46" t="s">
        <v>129</v>
      </c>
      <c r="L24" s="46">
        <v>0.13100000000000001</v>
      </c>
      <c r="M24" s="46">
        <v>0.217</v>
      </c>
      <c r="N24" s="46" t="s">
        <v>129</v>
      </c>
      <c r="O24" s="46" t="s">
        <v>129</v>
      </c>
      <c r="P24" s="46" t="s">
        <v>129</v>
      </c>
      <c r="Q24" s="46" t="s">
        <v>129</v>
      </c>
      <c r="R24" s="46" t="s">
        <v>129</v>
      </c>
      <c r="S24" s="46" t="s">
        <v>129</v>
      </c>
      <c r="U24" s="54" t="s">
        <v>129</v>
      </c>
      <c r="V24" s="54" t="s">
        <v>129</v>
      </c>
      <c r="W24" s="54" t="s">
        <v>129</v>
      </c>
      <c r="X24" s="51" t="e">
        <f>SUM(H24*L24)</f>
        <v>#N/A</v>
      </c>
      <c r="Y24" s="51" t="e">
        <f t="shared" ref="Y24:Y25" si="13">SUM(H24*M24)</f>
        <v>#N/A</v>
      </c>
      <c r="Z24" s="54" t="s">
        <v>129</v>
      </c>
      <c r="AA24" s="54" t="s">
        <v>129</v>
      </c>
      <c r="AB24" s="54" t="s">
        <v>129</v>
      </c>
      <c r="AC24" s="54" t="s">
        <v>129</v>
      </c>
      <c r="AD24" s="54" t="s">
        <v>129</v>
      </c>
      <c r="AE24" s="54" t="s">
        <v>129</v>
      </c>
      <c r="AR24" s="52"/>
      <c r="AS24" s="52"/>
      <c r="AT24" s="52"/>
      <c r="AU24" s="52">
        <f>SUM(E24-(434*AV24))/262</f>
        <v>4.5896946564885521E-2</v>
      </c>
      <c r="AV24" s="52">
        <f>SUM(AV25)</f>
        <v>8.7499999999999994E-2</v>
      </c>
      <c r="AW24" s="52"/>
      <c r="AX24" s="52"/>
      <c r="AY24" s="52"/>
      <c r="AZ24" s="52"/>
      <c r="BA24" s="52"/>
      <c r="BB24" s="52"/>
      <c r="BC24" t="s">
        <v>104</v>
      </c>
    </row>
    <row r="25" spans="2:55" x14ac:dyDescent="0.25">
      <c r="C25" s="33" t="s">
        <v>39</v>
      </c>
      <c r="D25" s="45" t="s">
        <v>63</v>
      </c>
      <c r="E25" s="70">
        <v>70</v>
      </c>
      <c r="F25" s="44" t="e">
        <f t="shared" si="12"/>
        <v>#N/A</v>
      </c>
      <c r="G25" s="106" t="e">
        <f>VLOOKUP(D25,'Fertilizer Calc'!$B$3:$E$12,4,FALSE)</f>
        <v>#N/A</v>
      </c>
      <c r="H25" s="102" t="e">
        <f t="shared" si="1"/>
        <v>#N/A</v>
      </c>
      <c r="I25" s="43" t="s">
        <v>129</v>
      </c>
      <c r="J25" s="43" t="s">
        <v>129</v>
      </c>
      <c r="K25" s="43" t="s">
        <v>129</v>
      </c>
      <c r="L25" s="43">
        <v>5.0000000000000001E-3</v>
      </c>
      <c r="M25" s="43">
        <v>0.4</v>
      </c>
      <c r="N25" s="43" t="s">
        <v>129</v>
      </c>
      <c r="O25" s="43" t="s">
        <v>129</v>
      </c>
      <c r="P25" s="43" t="s">
        <v>129</v>
      </c>
      <c r="Q25" s="43" t="s">
        <v>129</v>
      </c>
      <c r="R25" s="43" t="s">
        <v>129</v>
      </c>
      <c r="S25" s="43" t="s">
        <v>129</v>
      </c>
      <c r="U25" s="55" t="s">
        <v>129</v>
      </c>
      <c r="V25" s="55" t="s">
        <v>129</v>
      </c>
      <c r="W25" s="55" t="s">
        <v>129</v>
      </c>
      <c r="X25" s="50" t="e">
        <f>SUM(H25*L25)</f>
        <v>#N/A</v>
      </c>
      <c r="Y25" s="50" t="e">
        <f t="shared" si="13"/>
        <v>#N/A</v>
      </c>
      <c r="Z25" s="55" t="s">
        <v>129</v>
      </c>
      <c r="AA25" s="55" t="s">
        <v>129</v>
      </c>
      <c r="AB25" s="55" t="s">
        <v>129</v>
      </c>
      <c r="AC25" s="55" t="s">
        <v>129</v>
      </c>
      <c r="AD25" s="55" t="s">
        <v>129</v>
      </c>
      <c r="AE25" s="55" t="s">
        <v>129</v>
      </c>
      <c r="AR25" s="10"/>
      <c r="AS25" s="10"/>
      <c r="AT25" s="10"/>
      <c r="AU25" s="10"/>
      <c r="AV25" s="10">
        <f>SUM(E25/800)</f>
        <v>8.7499999999999994E-2</v>
      </c>
      <c r="AW25" s="10"/>
      <c r="AX25" s="10"/>
      <c r="AY25" s="10"/>
      <c r="AZ25" s="10"/>
      <c r="BA25" s="10"/>
      <c r="BB25" s="10"/>
    </row>
    <row r="26" spans="2:55" x14ac:dyDescent="0.25">
      <c r="B26" t="s">
        <v>68</v>
      </c>
      <c r="C26" s="18" t="s">
        <v>67</v>
      </c>
      <c r="D26" s="45" t="s">
        <v>66</v>
      </c>
      <c r="E26" s="70">
        <v>185</v>
      </c>
      <c r="F26" s="44" t="e">
        <f>SUM(H26/2000)*E26</f>
        <v>#N/A</v>
      </c>
      <c r="G26" s="106" t="e">
        <f>VLOOKUP(D26,'Fertilizer Calc'!$B$3:$E$12,4,FALSE)</f>
        <v>#N/A</v>
      </c>
      <c r="H26" s="102" t="e">
        <f t="shared" si="1"/>
        <v>#N/A</v>
      </c>
      <c r="I26" s="46" t="s">
        <v>129</v>
      </c>
      <c r="J26" s="46" t="s">
        <v>129</v>
      </c>
      <c r="K26" s="46" t="s">
        <v>129</v>
      </c>
      <c r="L26" s="46" t="s">
        <v>129</v>
      </c>
      <c r="M26" s="46">
        <v>0.21</v>
      </c>
      <c r="N26" s="46">
        <v>0.17</v>
      </c>
      <c r="O26" s="46" t="s">
        <v>129</v>
      </c>
      <c r="P26" s="46" t="s">
        <v>129</v>
      </c>
      <c r="Q26" s="46" t="s">
        <v>129</v>
      </c>
      <c r="R26" s="46" t="s">
        <v>129</v>
      </c>
      <c r="S26" s="46" t="s">
        <v>129</v>
      </c>
      <c r="U26" s="54" t="s">
        <v>129</v>
      </c>
      <c r="V26" s="54" t="s">
        <v>129</v>
      </c>
      <c r="W26" s="54" t="s">
        <v>129</v>
      </c>
      <c r="X26" s="54" t="s">
        <v>129</v>
      </c>
      <c r="Y26" s="51" t="e">
        <f>SUM(H26*M26)</f>
        <v>#N/A</v>
      </c>
      <c r="Z26" s="51" t="e">
        <f>SUM(H26*N26)</f>
        <v>#N/A</v>
      </c>
      <c r="AA26" s="54" t="s">
        <v>129</v>
      </c>
      <c r="AB26" s="54" t="s">
        <v>129</v>
      </c>
      <c r="AC26" s="54" t="s">
        <v>129</v>
      </c>
      <c r="AD26" s="54" t="s">
        <v>129</v>
      </c>
      <c r="AE26" s="54" t="s">
        <v>129</v>
      </c>
      <c r="AR26" s="52"/>
      <c r="AS26" s="52"/>
      <c r="AT26" s="52"/>
      <c r="AU26" s="52"/>
      <c r="AV26" s="52">
        <f>SUM(AV25)</f>
        <v>8.7499999999999994E-2</v>
      </c>
      <c r="AW26" s="52">
        <f>SUM(E26-(420*AV26))/340</f>
        <v>0.43602941176470589</v>
      </c>
      <c r="AX26" s="52"/>
      <c r="AY26" s="52"/>
      <c r="AZ26" s="52"/>
      <c r="BA26" s="52"/>
      <c r="BB26" s="52"/>
      <c r="BC26" t="s">
        <v>104</v>
      </c>
    </row>
    <row r="27" spans="2:55" ht="15" customHeight="1" x14ac:dyDescent="0.25">
      <c r="B27" t="s">
        <v>68</v>
      </c>
      <c r="C27" s="18" t="s">
        <v>70</v>
      </c>
      <c r="D27" s="45" t="s">
        <v>69</v>
      </c>
      <c r="E27" s="70">
        <v>130</v>
      </c>
      <c r="F27" s="44" t="e">
        <f>SUM(H27/2000)*E27</f>
        <v>#N/A</v>
      </c>
      <c r="G27" s="106" t="e">
        <f>VLOOKUP(D27,'Fertilizer Calc'!$B$3:$E$12,4,FALSE)</f>
        <v>#N/A</v>
      </c>
      <c r="H27" s="102" t="e">
        <f t="shared" si="1"/>
        <v>#N/A</v>
      </c>
      <c r="I27" s="43" t="s">
        <v>129</v>
      </c>
      <c r="J27" s="43" t="s">
        <v>129</v>
      </c>
      <c r="K27" s="43" t="s">
        <v>129</v>
      </c>
      <c r="L27" s="43">
        <v>5.0000000000000001E-3</v>
      </c>
      <c r="M27" s="43">
        <v>0.36</v>
      </c>
      <c r="N27" s="43" t="s">
        <v>129</v>
      </c>
      <c r="O27" s="43" t="s">
        <v>129</v>
      </c>
      <c r="P27" s="43" t="s">
        <v>129</v>
      </c>
      <c r="Q27" s="43" t="s">
        <v>129</v>
      </c>
      <c r="R27" s="43" t="s">
        <v>129</v>
      </c>
      <c r="S27" s="43" t="s">
        <v>129</v>
      </c>
      <c r="U27" s="55" t="s">
        <v>129</v>
      </c>
      <c r="V27" s="55" t="s">
        <v>129</v>
      </c>
      <c r="W27" s="55" t="s">
        <v>129</v>
      </c>
      <c r="X27" s="50" t="e">
        <f>SUM(H27*L27)</f>
        <v>#N/A</v>
      </c>
      <c r="Y27" s="50" t="e">
        <f>SUM(H27*M27)</f>
        <v>#N/A</v>
      </c>
      <c r="Z27" s="55" t="s">
        <v>129</v>
      </c>
      <c r="AA27" s="55" t="s">
        <v>129</v>
      </c>
      <c r="AB27" s="55" t="s">
        <v>129</v>
      </c>
      <c r="AC27" s="55" t="s">
        <v>129</v>
      </c>
      <c r="AD27" s="55" t="s">
        <v>129</v>
      </c>
      <c r="AE27" s="55" t="s">
        <v>129</v>
      </c>
      <c r="AR27" s="10"/>
      <c r="AS27" s="10"/>
      <c r="AT27" s="10"/>
      <c r="AU27" s="10"/>
      <c r="AV27" s="10">
        <f>SUM(E27/720)</f>
        <v>0.18055555555555555</v>
      </c>
      <c r="AW27" s="10"/>
      <c r="AX27" s="10"/>
      <c r="AY27" s="10"/>
      <c r="AZ27" s="10"/>
      <c r="BA27" s="10"/>
      <c r="BB27" s="10"/>
    </row>
    <row r="28" spans="2:55" x14ac:dyDescent="0.25">
      <c r="C28" s="62"/>
      <c r="D28" s="45" t="s">
        <v>117</v>
      </c>
      <c r="E28" s="70">
        <v>0</v>
      </c>
      <c r="F28" s="44" t="e">
        <f t="shared" si="12"/>
        <v>#N/A</v>
      </c>
      <c r="G28" s="106" t="e">
        <f>VLOOKUP(D28,'Fertilizer Calc'!$B$3:$E$12,4,FALSE)</f>
        <v>#N/A</v>
      </c>
      <c r="H28" s="102" t="e">
        <f t="shared" si="1"/>
        <v>#N/A</v>
      </c>
      <c r="I28" s="64">
        <v>0</v>
      </c>
      <c r="J28" s="64">
        <v>0</v>
      </c>
      <c r="K28" s="64">
        <v>0</v>
      </c>
      <c r="L28" s="64">
        <v>0</v>
      </c>
      <c r="M28" s="64">
        <v>0</v>
      </c>
      <c r="N28" s="64">
        <v>0</v>
      </c>
      <c r="O28" s="64">
        <v>0</v>
      </c>
      <c r="P28" s="64">
        <v>0</v>
      </c>
      <c r="Q28" s="64">
        <v>0</v>
      </c>
      <c r="R28" s="64">
        <v>0</v>
      </c>
      <c r="S28" s="64">
        <v>2.5000000000000001E-5</v>
      </c>
      <c r="U28" s="51" t="e">
        <f>SUM(H28*I28)</f>
        <v>#N/A</v>
      </c>
      <c r="V28" s="51" t="e">
        <f>SUM(H28*J28)</f>
        <v>#N/A</v>
      </c>
      <c r="W28" s="51" t="e">
        <f>SUM(H28*K28)</f>
        <v>#N/A</v>
      </c>
      <c r="X28" s="51" t="e">
        <f>SUM(H28*L28)</f>
        <v>#N/A</v>
      </c>
      <c r="Y28" s="51" t="e">
        <f>SUM(H28*M28)</f>
        <v>#N/A</v>
      </c>
      <c r="Z28" s="51" t="e">
        <f>SUM(H28*N28)</f>
        <v>#N/A</v>
      </c>
      <c r="AA28" s="51" t="e">
        <f>SUM(H28*O28)</f>
        <v>#N/A</v>
      </c>
      <c r="AB28" s="51" t="e">
        <f>SUM(H28*P28)</f>
        <v>#N/A</v>
      </c>
      <c r="AC28" s="51" t="e">
        <f>SUM(H28*Q28)</f>
        <v>#N/A</v>
      </c>
      <c r="AD28" s="51" t="e">
        <f>SUM(H28*R28)</f>
        <v>#N/A</v>
      </c>
      <c r="AE28" s="51" t="e">
        <f>SUM(H28*S28)</f>
        <v>#N/A</v>
      </c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</row>
    <row r="29" spans="2:55" x14ac:dyDescent="0.25">
      <c r="C29" s="22"/>
      <c r="D29" s="179" t="s">
        <v>62</v>
      </c>
      <c r="E29" s="179"/>
      <c r="F29" s="11" t="e">
        <f>SUM(F4:F26)</f>
        <v>#N/A</v>
      </c>
      <c r="G29" s="107"/>
      <c r="U29" s="53" t="e">
        <f t="shared" ref="U29:AE29" si="14">SUM(U4:U28)</f>
        <v>#N/A</v>
      </c>
      <c r="V29" s="53" t="e">
        <f t="shared" si="14"/>
        <v>#N/A</v>
      </c>
      <c r="W29" s="53" t="e">
        <f t="shared" si="14"/>
        <v>#N/A</v>
      </c>
      <c r="X29" s="53" t="e">
        <f t="shared" si="14"/>
        <v>#N/A</v>
      </c>
      <c r="Y29" s="53" t="e">
        <f t="shared" si="14"/>
        <v>#N/A</v>
      </c>
      <c r="Z29" s="53" t="e">
        <f t="shared" si="14"/>
        <v>#N/A</v>
      </c>
      <c r="AA29" s="53" t="e">
        <f t="shared" si="14"/>
        <v>#N/A</v>
      </c>
      <c r="AB29" s="53" t="e">
        <f t="shared" si="14"/>
        <v>#N/A</v>
      </c>
      <c r="AC29" s="53" t="e">
        <f t="shared" si="14"/>
        <v>#N/A</v>
      </c>
      <c r="AD29" s="53" t="e">
        <f t="shared" si="14"/>
        <v>#N/A</v>
      </c>
      <c r="AE29" s="53" t="e">
        <f t="shared" si="14"/>
        <v>#N/A</v>
      </c>
    </row>
    <row r="30" spans="2:55" x14ac:dyDescent="0.25">
      <c r="C30" s="22"/>
      <c r="D30" s="23"/>
      <c r="E30" s="73"/>
      <c r="F30" s="22"/>
      <c r="G30" s="108"/>
      <c r="H30" s="154" t="s">
        <v>61</v>
      </c>
      <c r="I30" s="42"/>
      <c r="J30" s="42"/>
      <c r="K30" s="42"/>
      <c r="L30" s="41"/>
      <c r="AG30" s="180" t="s">
        <v>11</v>
      </c>
      <c r="AH30" s="165" t="s">
        <v>12</v>
      </c>
      <c r="AI30" s="165" t="s">
        <v>13</v>
      </c>
      <c r="AJ30" s="165" t="s">
        <v>14</v>
      </c>
      <c r="AK30" s="165" t="s">
        <v>60</v>
      </c>
    </row>
    <row r="31" spans="2:55" x14ac:dyDescent="0.25">
      <c r="B31" t="s">
        <v>59</v>
      </c>
      <c r="C31" s="22"/>
      <c r="D31" s="182" t="s">
        <v>15</v>
      </c>
      <c r="E31" s="183"/>
      <c r="F31" s="40" t="s">
        <v>54</v>
      </c>
      <c r="G31" s="109"/>
      <c r="H31" s="154"/>
      <c r="I31" s="9" t="s">
        <v>18</v>
      </c>
      <c r="J31" s="8" t="s">
        <v>19</v>
      </c>
      <c r="K31" s="7" t="s">
        <v>20</v>
      </c>
      <c r="L31" s="7" t="s">
        <v>32</v>
      </c>
      <c r="M31" s="7" t="s">
        <v>31</v>
      </c>
      <c r="N31" s="7" t="s">
        <v>33</v>
      </c>
      <c r="O31" s="7" t="s">
        <v>36</v>
      </c>
      <c r="P31" s="7" t="s">
        <v>35</v>
      </c>
      <c r="Q31" s="7" t="s">
        <v>34</v>
      </c>
      <c r="R31" s="7" t="s">
        <v>37</v>
      </c>
      <c r="S31" s="7" t="s">
        <v>38</v>
      </c>
      <c r="U31" s="9" t="s">
        <v>18</v>
      </c>
      <c r="V31" s="8" t="s">
        <v>19</v>
      </c>
      <c r="W31" s="7" t="s">
        <v>20</v>
      </c>
      <c r="X31" s="7" t="s">
        <v>32</v>
      </c>
      <c r="Y31" s="7" t="s">
        <v>31</v>
      </c>
      <c r="Z31" s="7" t="s">
        <v>33</v>
      </c>
      <c r="AA31" s="7" t="s">
        <v>36</v>
      </c>
      <c r="AB31" s="7" t="s">
        <v>35</v>
      </c>
      <c r="AC31" s="7" t="s">
        <v>34</v>
      </c>
      <c r="AD31" s="7" t="s">
        <v>37</v>
      </c>
      <c r="AE31" s="7" t="s">
        <v>38</v>
      </c>
      <c r="AG31" s="180"/>
      <c r="AH31" s="165"/>
      <c r="AI31" s="165"/>
      <c r="AJ31" s="165"/>
      <c r="AK31" s="165"/>
      <c r="AR31" s="9" t="s">
        <v>18</v>
      </c>
      <c r="AS31" s="8" t="s">
        <v>19</v>
      </c>
      <c r="AT31" s="7" t="s">
        <v>20</v>
      </c>
      <c r="AU31" s="7" t="s">
        <v>32</v>
      </c>
      <c r="AV31" s="7" t="s">
        <v>31</v>
      </c>
      <c r="AW31" s="7" t="s">
        <v>33</v>
      </c>
    </row>
    <row r="32" spans="2:55" x14ac:dyDescent="0.25">
      <c r="C32" s="22"/>
      <c r="D32" s="87" t="s">
        <v>129</v>
      </c>
      <c r="E32" s="88" t="s">
        <v>129</v>
      </c>
      <c r="F32" s="89" t="s">
        <v>129</v>
      </c>
      <c r="G32" s="110">
        <f>VLOOKUP(D32,'Fertilizer Calc'!$B$12:$E$21,4,FALSE)</f>
        <v>0</v>
      </c>
      <c r="H32" s="81" t="s">
        <v>129</v>
      </c>
      <c r="I32" s="82" t="s">
        <v>129</v>
      </c>
      <c r="J32" s="83" t="s">
        <v>129</v>
      </c>
      <c r="K32" s="36" t="s">
        <v>129</v>
      </c>
      <c r="L32" s="36" t="s">
        <v>129</v>
      </c>
      <c r="M32" s="36" t="s">
        <v>129</v>
      </c>
      <c r="N32" s="36" t="s">
        <v>129</v>
      </c>
      <c r="O32" s="36" t="s">
        <v>129</v>
      </c>
      <c r="P32" s="36" t="s">
        <v>129</v>
      </c>
      <c r="Q32" s="36" t="s">
        <v>129</v>
      </c>
      <c r="R32" s="36" t="s">
        <v>129</v>
      </c>
      <c r="S32" s="36" t="s">
        <v>129</v>
      </c>
      <c r="T32" s="90"/>
      <c r="U32" s="82" t="s">
        <v>129</v>
      </c>
      <c r="V32" s="83" t="s">
        <v>129</v>
      </c>
      <c r="W32" s="36" t="s">
        <v>129</v>
      </c>
      <c r="X32" s="36" t="s">
        <v>129</v>
      </c>
      <c r="Y32" s="36" t="s">
        <v>129</v>
      </c>
      <c r="Z32" s="36" t="s">
        <v>129</v>
      </c>
      <c r="AA32" s="36" t="s">
        <v>129</v>
      </c>
      <c r="AB32" s="36" t="s">
        <v>129</v>
      </c>
      <c r="AC32" s="36" t="s">
        <v>129</v>
      </c>
      <c r="AD32" s="36" t="s">
        <v>129</v>
      </c>
      <c r="AE32" s="36" t="s">
        <v>129</v>
      </c>
      <c r="AG32" s="78"/>
      <c r="AH32" s="86"/>
      <c r="AI32" s="86"/>
      <c r="AJ32" s="86"/>
      <c r="AK32" s="78"/>
      <c r="AR32" s="82"/>
      <c r="AS32" s="83"/>
      <c r="AT32" s="36"/>
      <c r="AU32" s="36"/>
      <c r="AV32" s="36"/>
      <c r="AW32" s="36"/>
    </row>
    <row r="33" spans="2:50" x14ac:dyDescent="0.25">
      <c r="B33" s="33">
        <v>10.67</v>
      </c>
      <c r="C33" s="18" t="s">
        <v>58</v>
      </c>
      <c r="D33" s="85">
        <v>0.28000000000000003</v>
      </c>
      <c r="E33" s="70">
        <v>600</v>
      </c>
      <c r="F33" s="17" t="e">
        <f>SUM(E33/(2000/10.67))*H33</f>
        <v>#N/A</v>
      </c>
      <c r="G33" s="110" t="e">
        <f>VLOOKUP(D33,'Fertilizer Calc'!$B$12:$E$21,4,FALSE)</f>
        <v>#N/A</v>
      </c>
      <c r="H33" s="27" t="e">
        <f>G33</f>
        <v>#N/A</v>
      </c>
      <c r="I33" s="26">
        <v>0.28000000000000003</v>
      </c>
      <c r="J33" s="26" t="s">
        <v>129</v>
      </c>
      <c r="K33" s="26" t="s">
        <v>129</v>
      </c>
      <c r="L33" s="13" t="s">
        <v>129</v>
      </c>
      <c r="M33" s="13" t="s">
        <v>129</v>
      </c>
      <c r="N33" s="26" t="s">
        <v>129</v>
      </c>
      <c r="O33" s="13" t="s">
        <v>129</v>
      </c>
      <c r="P33" s="13" t="s">
        <v>129</v>
      </c>
      <c r="Q33" s="13" t="s">
        <v>129</v>
      </c>
      <c r="R33" s="13" t="s">
        <v>129</v>
      </c>
      <c r="S33" s="13" t="s">
        <v>129</v>
      </c>
      <c r="U33" s="54" t="e">
        <f>SUM(H33*AH33)</f>
        <v>#N/A</v>
      </c>
      <c r="V33" s="54" t="s">
        <v>129</v>
      </c>
      <c r="W33" s="54" t="s">
        <v>129</v>
      </c>
      <c r="X33" s="54" t="s">
        <v>129</v>
      </c>
      <c r="Y33" s="54" t="s">
        <v>129</v>
      </c>
      <c r="Z33" s="54" t="s">
        <v>129</v>
      </c>
      <c r="AA33" s="54" t="s">
        <v>129</v>
      </c>
      <c r="AB33" s="54" t="s">
        <v>129</v>
      </c>
      <c r="AC33" s="54" t="s">
        <v>129</v>
      </c>
      <c r="AD33" s="54" t="s">
        <v>129</v>
      </c>
      <c r="AE33" s="54" t="s">
        <v>129</v>
      </c>
      <c r="AG33" s="18">
        <v>10.67</v>
      </c>
      <c r="AH33" s="39">
        <f>SUM(AG33*I33)</f>
        <v>2.9876000000000005</v>
      </c>
      <c r="AI33" s="39">
        <v>0</v>
      </c>
      <c r="AJ33" s="39">
        <v>0</v>
      </c>
      <c r="AK33" s="18"/>
      <c r="AR33" s="52">
        <f>SUM((E33/(2000/10.67))/2.9786)</f>
        <v>1.0746659504465186</v>
      </c>
      <c r="AS33" s="52"/>
      <c r="AT33" s="52"/>
      <c r="AU33" s="52"/>
      <c r="AV33" s="52"/>
      <c r="AW33" s="52"/>
    </row>
    <row r="34" spans="2:50" x14ac:dyDescent="0.25">
      <c r="B34" s="33">
        <v>11.06</v>
      </c>
      <c r="C34" s="18" t="s">
        <v>58</v>
      </c>
      <c r="D34" s="85">
        <v>0.32</v>
      </c>
      <c r="E34" s="70">
        <v>670</v>
      </c>
      <c r="F34" s="17" t="e">
        <f>SUM(E34/(2000/11.06))*H34</f>
        <v>#N/A</v>
      </c>
      <c r="G34" s="110" t="e">
        <f>VLOOKUP(D34,'Fertilizer Calc'!$B$12:$E$21,4,FALSE)</f>
        <v>#N/A</v>
      </c>
      <c r="H34" s="27" t="e">
        <f t="shared" ref="H34:H57" si="15">G34</f>
        <v>#N/A</v>
      </c>
      <c r="I34" s="38">
        <v>0.32</v>
      </c>
      <c r="J34" s="38" t="s">
        <v>129</v>
      </c>
      <c r="K34" s="38" t="s">
        <v>129</v>
      </c>
      <c r="L34" s="37" t="s">
        <v>129</v>
      </c>
      <c r="M34" s="37" t="s">
        <v>129</v>
      </c>
      <c r="N34" s="38" t="s">
        <v>129</v>
      </c>
      <c r="O34" s="37" t="s">
        <v>129</v>
      </c>
      <c r="P34" s="37" t="s">
        <v>129</v>
      </c>
      <c r="Q34" s="37" t="s">
        <v>129</v>
      </c>
      <c r="R34" s="37" t="s">
        <v>129</v>
      </c>
      <c r="S34" s="37" t="s">
        <v>129</v>
      </c>
      <c r="U34" s="55" t="e">
        <f t="shared" ref="U34:U48" si="16">SUM(H34*AH34)</f>
        <v>#N/A</v>
      </c>
      <c r="V34" s="55" t="s">
        <v>129</v>
      </c>
      <c r="W34" s="55" t="s">
        <v>129</v>
      </c>
      <c r="X34" s="55" t="s">
        <v>129</v>
      </c>
      <c r="Y34" s="55" t="s">
        <v>129</v>
      </c>
      <c r="Z34" s="55" t="s">
        <v>129</v>
      </c>
      <c r="AA34" s="55" t="s">
        <v>129</v>
      </c>
      <c r="AB34" s="55" t="s">
        <v>129</v>
      </c>
      <c r="AC34" s="55" t="s">
        <v>129</v>
      </c>
      <c r="AD34" s="55" t="s">
        <v>129</v>
      </c>
      <c r="AE34" s="55" t="s">
        <v>129</v>
      </c>
      <c r="AG34" s="18">
        <v>11.06</v>
      </c>
      <c r="AH34" s="15">
        <f>SUM(AG34*I34)</f>
        <v>3.5392000000000001</v>
      </c>
      <c r="AI34" s="15">
        <v>0</v>
      </c>
      <c r="AJ34" s="15">
        <v>0</v>
      </c>
      <c r="AK34" s="18"/>
      <c r="AR34" s="10">
        <f>SUM((E34/(2000/11.06))/3.54)</f>
        <v>1.0466384180790962</v>
      </c>
      <c r="AS34" s="10"/>
      <c r="AT34" s="10"/>
      <c r="AU34" s="10"/>
      <c r="AV34" s="10"/>
      <c r="AW34" s="10"/>
    </row>
    <row r="35" spans="2:50" x14ac:dyDescent="0.25">
      <c r="B35" s="33">
        <v>5.15</v>
      </c>
      <c r="C35" s="18" t="s">
        <v>16</v>
      </c>
      <c r="D35" s="32" t="s">
        <v>17</v>
      </c>
      <c r="E35" s="74">
        <v>1400</v>
      </c>
      <c r="F35" s="31" t="e">
        <f>SUM(E35/(2000/5.15))*H35</f>
        <v>#N/A</v>
      </c>
      <c r="G35" s="110" t="e">
        <f>VLOOKUP(D35,'Fertilizer Calc'!$B$12:$E$21,4,FALSE)</f>
        <v>#N/A</v>
      </c>
      <c r="H35" s="27" t="e">
        <f t="shared" si="15"/>
        <v>#N/A</v>
      </c>
      <c r="I35" s="26">
        <v>0.85</v>
      </c>
      <c r="J35" s="26" t="s">
        <v>129</v>
      </c>
      <c r="K35" s="26" t="s">
        <v>129</v>
      </c>
      <c r="L35" s="13" t="s">
        <v>129</v>
      </c>
      <c r="M35" s="13" t="s">
        <v>129</v>
      </c>
      <c r="N35" s="26" t="s">
        <v>129</v>
      </c>
      <c r="O35" s="13" t="s">
        <v>129</v>
      </c>
      <c r="P35" s="13" t="s">
        <v>129</v>
      </c>
      <c r="Q35" s="13" t="s">
        <v>129</v>
      </c>
      <c r="R35" s="13" t="s">
        <v>129</v>
      </c>
      <c r="S35" s="13" t="s">
        <v>129</v>
      </c>
      <c r="U35" s="54" t="e">
        <f>SUM(H35*AH35)</f>
        <v>#N/A</v>
      </c>
      <c r="V35" s="54" t="e">
        <f>SUM(H35*AI35)</f>
        <v>#N/A</v>
      </c>
      <c r="W35" s="54" t="e">
        <f>SUM(H35*AJ35)</f>
        <v>#N/A</v>
      </c>
      <c r="X35" s="54" t="s">
        <v>129</v>
      </c>
      <c r="Y35" s="54" t="s">
        <v>129</v>
      </c>
      <c r="Z35" s="54" t="s">
        <v>129</v>
      </c>
      <c r="AA35" s="54" t="s">
        <v>129</v>
      </c>
      <c r="AB35" s="54" t="s">
        <v>129</v>
      </c>
      <c r="AC35" s="54" t="s">
        <v>129</v>
      </c>
      <c r="AD35" s="54" t="s">
        <v>129</v>
      </c>
      <c r="AE35" s="54" t="s">
        <v>129</v>
      </c>
      <c r="AG35" s="18">
        <v>5.15</v>
      </c>
      <c r="AH35" s="15">
        <v>4.37</v>
      </c>
      <c r="AI35" s="15">
        <v>0</v>
      </c>
      <c r="AJ35" s="15">
        <v>0</v>
      </c>
      <c r="AK35" s="18"/>
      <c r="AR35" s="52">
        <f>SUM((E35/(2000/5.15))/4.223)</f>
        <v>0.85365853658536595</v>
      </c>
      <c r="AS35" s="52"/>
      <c r="AT35" s="52"/>
      <c r="AU35" s="52"/>
      <c r="AV35" s="52"/>
      <c r="AW35" s="52"/>
    </row>
    <row r="36" spans="2:50" x14ac:dyDescent="0.25">
      <c r="B36" s="33">
        <v>11.06</v>
      </c>
      <c r="C36" s="18" t="s">
        <v>42</v>
      </c>
      <c r="D36" s="35" t="s">
        <v>41</v>
      </c>
      <c r="E36" s="70">
        <v>600</v>
      </c>
      <c r="F36" s="17" t="e">
        <f>SUM(E36/(2000/11.04))*H36</f>
        <v>#N/A</v>
      </c>
      <c r="G36" s="110" t="e">
        <f>VLOOKUP(D36,'Fertilizer Calc'!$B$12:$E$21,4,FALSE)</f>
        <v>#N/A</v>
      </c>
      <c r="H36" s="27" t="e">
        <f t="shared" si="15"/>
        <v>#N/A</v>
      </c>
      <c r="I36" s="38">
        <v>0.11</v>
      </c>
      <c r="J36" s="38" t="s">
        <v>129</v>
      </c>
      <c r="K36" s="38" t="s">
        <v>129</v>
      </c>
      <c r="L36" s="37" t="s">
        <v>129</v>
      </c>
      <c r="M36" s="37" t="s">
        <v>129</v>
      </c>
      <c r="N36" s="38">
        <v>0.24</v>
      </c>
      <c r="O36" s="37" t="s">
        <v>129</v>
      </c>
      <c r="P36" s="37" t="s">
        <v>129</v>
      </c>
      <c r="Q36" s="37" t="s">
        <v>129</v>
      </c>
      <c r="R36" s="37" t="s">
        <v>129</v>
      </c>
      <c r="S36" s="37" t="s">
        <v>129</v>
      </c>
      <c r="U36" s="55" t="e">
        <f t="shared" si="16"/>
        <v>#N/A</v>
      </c>
      <c r="V36" s="55" t="s">
        <v>129</v>
      </c>
      <c r="W36" s="55" t="s">
        <v>129</v>
      </c>
      <c r="X36" s="55" t="s">
        <v>129</v>
      </c>
      <c r="Y36" s="55" t="s">
        <v>129</v>
      </c>
      <c r="Z36" s="55" t="e">
        <f>SUM(H36*AK36)</f>
        <v>#N/A</v>
      </c>
      <c r="AA36" s="55" t="s">
        <v>129</v>
      </c>
      <c r="AB36" s="55" t="s">
        <v>129</v>
      </c>
      <c r="AC36" s="55" t="s">
        <v>129</v>
      </c>
      <c r="AD36" s="55" t="s">
        <v>129</v>
      </c>
      <c r="AE36" s="55" t="s">
        <v>129</v>
      </c>
      <c r="AG36" s="18">
        <v>11.06</v>
      </c>
      <c r="AH36" s="15">
        <v>1.22</v>
      </c>
      <c r="AI36" s="15">
        <v>0</v>
      </c>
      <c r="AJ36" s="15">
        <v>0</v>
      </c>
      <c r="AK36" s="18">
        <v>2.66</v>
      </c>
      <c r="AR36" s="10">
        <f>SUM(AR33)</f>
        <v>1.0746659504465186</v>
      </c>
      <c r="AS36" s="10"/>
      <c r="AT36" s="10"/>
      <c r="AU36" s="10"/>
      <c r="AV36" s="10"/>
      <c r="AW36" s="10">
        <f>SUM((E36)-(AR36*220))/480</f>
        <v>0.75744477271201238</v>
      </c>
      <c r="AX36" t="s">
        <v>114</v>
      </c>
    </row>
    <row r="37" spans="2:50" x14ac:dyDescent="0.25">
      <c r="B37" s="33">
        <v>12.2</v>
      </c>
      <c r="C37" s="18" t="s">
        <v>27</v>
      </c>
      <c r="D37" s="35" t="s">
        <v>26</v>
      </c>
      <c r="E37" s="70">
        <v>7</v>
      </c>
      <c r="F37" s="17" t="e">
        <f>SUM(E37*H37)</f>
        <v>#N/A</v>
      </c>
      <c r="G37" s="110" t="e">
        <f>VLOOKUP(D37,'Fertilizer Calc'!$B$12:$E$21,4,FALSE)</f>
        <v>#N/A</v>
      </c>
      <c r="H37" s="27" t="e">
        <f t="shared" si="15"/>
        <v>#N/A</v>
      </c>
      <c r="I37" s="26" t="s">
        <v>129</v>
      </c>
      <c r="J37" s="26" t="s">
        <v>129</v>
      </c>
      <c r="K37" s="26">
        <v>0.25</v>
      </c>
      <c r="L37" s="13" t="s">
        <v>129</v>
      </c>
      <c r="M37" s="13" t="s">
        <v>129</v>
      </c>
      <c r="N37" s="26">
        <v>0.17</v>
      </c>
      <c r="O37" s="13" t="s">
        <v>129</v>
      </c>
      <c r="P37" s="13" t="s">
        <v>129</v>
      </c>
      <c r="Q37" s="13" t="s">
        <v>129</v>
      </c>
      <c r="R37" s="13" t="s">
        <v>129</v>
      </c>
      <c r="S37" s="13" t="s">
        <v>129</v>
      </c>
      <c r="U37" s="54" t="s">
        <v>129</v>
      </c>
      <c r="V37" s="54" t="s">
        <v>129</v>
      </c>
      <c r="W37" s="54" t="e">
        <f>SUM(H37*AJ37)</f>
        <v>#N/A</v>
      </c>
      <c r="X37" s="54" t="s">
        <v>129</v>
      </c>
      <c r="Y37" s="54" t="s">
        <v>129</v>
      </c>
      <c r="Z37" s="54" t="e">
        <f>SUM(H37*AK37)</f>
        <v>#N/A</v>
      </c>
      <c r="AA37" s="54" t="s">
        <v>129</v>
      </c>
      <c r="AB37" s="54" t="s">
        <v>129</v>
      </c>
      <c r="AC37" s="54" t="s">
        <v>129</v>
      </c>
      <c r="AD37" s="54" t="s">
        <v>129</v>
      </c>
      <c r="AE37" s="54" t="s">
        <v>129</v>
      </c>
      <c r="AG37" s="18">
        <v>12.2</v>
      </c>
      <c r="AH37" s="15"/>
      <c r="AI37" s="15"/>
      <c r="AJ37" s="15">
        <v>3.05</v>
      </c>
      <c r="AK37" s="18">
        <v>2.0739999999999998</v>
      </c>
      <c r="AR37" s="52"/>
      <c r="AS37" s="52"/>
      <c r="AT37" s="52">
        <f>SUM(AT8)</f>
        <v>0.64583333333333337</v>
      </c>
      <c r="AU37" s="52"/>
      <c r="AV37" s="52"/>
      <c r="AW37" s="52">
        <f>SUM((E37)-(AT37*AJ37))/AK37</f>
        <v>2.4253656380585022</v>
      </c>
      <c r="AX37" t="s">
        <v>103</v>
      </c>
    </row>
    <row r="38" spans="2:50" x14ac:dyDescent="0.25">
      <c r="B38" s="33">
        <v>11.65</v>
      </c>
      <c r="C38" s="18" t="s">
        <v>57</v>
      </c>
      <c r="D38" s="34" t="s">
        <v>56</v>
      </c>
      <c r="E38" s="70">
        <v>900</v>
      </c>
      <c r="F38" s="17">
        <f>SUM(E38/(2000/11.65))*H38</f>
        <v>14.416875000000001</v>
      </c>
      <c r="G38" s="110">
        <f>VLOOKUP(D38,'Fertilizer Calc'!$B$12:$E$21,4,FALSE)</f>
        <v>2.75</v>
      </c>
      <c r="H38" s="27">
        <f t="shared" si="15"/>
        <v>2.75</v>
      </c>
      <c r="I38" s="38">
        <v>0.1</v>
      </c>
      <c r="J38" s="38">
        <v>0.34</v>
      </c>
      <c r="K38" s="38" t="s">
        <v>129</v>
      </c>
      <c r="L38" s="37" t="s">
        <v>129</v>
      </c>
      <c r="M38" s="37" t="s">
        <v>129</v>
      </c>
      <c r="N38" s="38" t="s">
        <v>129</v>
      </c>
      <c r="O38" s="37" t="s">
        <v>129</v>
      </c>
      <c r="P38" s="37" t="s">
        <v>129</v>
      </c>
      <c r="Q38" s="37" t="s">
        <v>129</v>
      </c>
      <c r="R38" s="37" t="s">
        <v>129</v>
      </c>
      <c r="S38" s="37" t="s">
        <v>129</v>
      </c>
      <c r="U38" s="55">
        <f>SUM(H38*AH38)</f>
        <v>3.2037500000000003</v>
      </c>
      <c r="V38" s="55">
        <f>SUM(H38*AI38)</f>
        <v>10.892749999999999</v>
      </c>
      <c r="W38" s="55" t="s">
        <v>129</v>
      </c>
      <c r="X38" s="55" t="s">
        <v>129</v>
      </c>
      <c r="Y38" s="55" t="s">
        <v>129</v>
      </c>
      <c r="Z38" s="55" t="s">
        <v>129</v>
      </c>
      <c r="AA38" s="55" t="s">
        <v>129</v>
      </c>
      <c r="AB38" s="55" t="s">
        <v>129</v>
      </c>
      <c r="AC38" s="55" t="s">
        <v>129</v>
      </c>
      <c r="AD38" s="55" t="s">
        <v>129</v>
      </c>
      <c r="AE38" s="55" t="s">
        <v>129</v>
      </c>
      <c r="AG38" s="18">
        <v>11.65</v>
      </c>
      <c r="AH38" s="15">
        <v>1.165</v>
      </c>
      <c r="AI38" s="15">
        <v>3.9609999999999999</v>
      </c>
      <c r="AJ38" s="15">
        <v>0</v>
      </c>
      <c r="AK38" s="18"/>
      <c r="AR38" s="10">
        <f>AR33</f>
        <v>1.0746659504465186</v>
      </c>
      <c r="AS38" s="10">
        <f>SUM((E38)-(AR38*200))/680</f>
        <v>1.0074511910451416</v>
      </c>
      <c r="AT38" s="10"/>
      <c r="AU38" s="10"/>
      <c r="AV38" s="10"/>
      <c r="AW38" s="10"/>
      <c r="AX38" t="s">
        <v>114</v>
      </c>
    </row>
    <row r="39" spans="2:50" x14ac:dyDescent="0.25">
      <c r="B39" s="33">
        <v>11.07</v>
      </c>
      <c r="C39" s="18"/>
      <c r="D39" s="34" t="s">
        <v>10</v>
      </c>
      <c r="E39" s="70">
        <v>5</v>
      </c>
      <c r="F39" s="17" t="e">
        <f>SUM(E39*H39)</f>
        <v>#N/A</v>
      </c>
      <c r="G39" s="110" t="e">
        <f>VLOOKUP(D39,'Fertilizer Calc'!$B$12:$E$21,4,FALSE)</f>
        <v>#N/A</v>
      </c>
      <c r="H39" s="27" t="e">
        <f t="shared" si="15"/>
        <v>#N/A</v>
      </c>
      <c r="I39" s="26">
        <v>0.06</v>
      </c>
      <c r="J39" s="26">
        <v>0.24</v>
      </c>
      <c r="K39" s="26">
        <v>0.06</v>
      </c>
      <c r="L39" s="13" t="s">
        <v>129</v>
      </c>
      <c r="M39" s="13" t="s">
        <v>129</v>
      </c>
      <c r="N39" s="26" t="s">
        <v>129</v>
      </c>
      <c r="O39" s="13" t="s">
        <v>129</v>
      </c>
      <c r="P39" s="13" t="s">
        <v>129</v>
      </c>
      <c r="Q39" s="13" t="s">
        <v>129</v>
      </c>
      <c r="R39" s="13" t="s">
        <v>129</v>
      </c>
      <c r="S39" s="13" t="s">
        <v>129</v>
      </c>
      <c r="U39" s="54" t="e">
        <f>SUM(H39*AH39)</f>
        <v>#N/A</v>
      </c>
      <c r="V39" s="54" t="e">
        <f>SUM(H39*AI39)</f>
        <v>#N/A</v>
      </c>
      <c r="W39" s="54" t="e">
        <f>SUM(H39*AJ39)</f>
        <v>#N/A</v>
      </c>
      <c r="X39" s="54" t="s">
        <v>129</v>
      </c>
      <c r="Y39" s="54" t="s">
        <v>129</v>
      </c>
      <c r="Z39" s="54" t="s">
        <v>129</v>
      </c>
      <c r="AA39" s="54" t="s">
        <v>129</v>
      </c>
      <c r="AB39" s="54" t="s">
        <v>129</v>
      </c>
      <c r="AC39" s="54" t="s">
        <v>129</v>
      </c>
      <c r="AD39" s="54" t="s">
        <v>129</v>
      </c>
      <c r="AE39" s="54" t="s">
        <v>129</v>
      </c>
      <c r="AG39" s="18">
        <v>11.07</v>
      </c>
      <c r="AH39" s="15">
        <v>0.66420000000000001</v>
      </c>
      <c r="AI39" s="15">
        <v>2.6568000000000001</v>
      </c>
      <c r="AJ39" s="15">
        <v>0.66420000000000001</v>
      </c>
      <c r="AK39" s="18"/>
      <c r="AR39" s="52">
        <f>SUM(AR33)</f>
        <v>1.0746659504465186</v>
      </c>
      <c r="AS39" s="52">
        <f>SUM((E39)-((AR39*AH39)+(AT39*AJ39)))/AI39</f>
        <v>1.4518384431321221</v>
      </c>
      <c r="AT39" s="52">
        <f>SUM(AT8)</f>
        <v>0.64583333333333337</v>
      </c>
      <c r="AU39" s="52"/>
      <c r="AV39" s="52"/>
      <c r="AW39" s="52"/>
      <c r="AX39" t="s">
        <v>115</v>
      </c>
    </row>
    <row r="40" spans="2:50" ht="15.95" customHeight="1" x14ac:dyDescent="0.25">
      <c r="B40" s="33">
        <v>11.03</v>
      </c>
      <c r="C40" s="18"/>
      <c r="D40" s="34" t="s">
        <v>7</v>
      </c>
      <c r="E40" s="70">
        <v>5.7</v>
      </c>
      <c r="F40" s="17" t="e">
        <f>SUM(E40*H40)</f>
        <v>#N/A</v>
      </c>
      <c r="G40" s="110" t="e">
        <f>VLOOKUP(D40,'Fertilizer Calc'!$B$12:$E$21,4,FALSE)</f>
        <v>#N/A</v>
      </c>
      <c r="H40" s="27" t="e">
        <f t="shared" si="15"/>
        <v>#N/A</v>
      </c>
      <c r="I40" s="38">
        <v>0.09</v>
      </c>
      <c r="J40" s="38">
        <v>0.18</v>
      </c>
      <c r="K40" s="38">
        <v>0.09</v>
      </c>
      <c r="L40" s="37" t="s">
        <v>129</v>
      </c>
      <c r="M40" s="37" t="s">
        <v>129</v>
      </c>
      <c r="N40" s="38" t="s">
        <v>129</v>
      </c>
      <c r="O40" s="37" t="s">
        <v>129</v>
      </c>
      <c r="P40" s="37" t="s">
        <v>129</v>
      </c>
      <c r="Q40" s="37" t="s">
        <v>129</v>
      </c>
      <c r="R40" s="37" t="s">
        <v>129</v>
      </c>
      <c r="S40" s="37" t="s">
        <v>129</v>
      </c>
      <c r="U40" s="55" t="e">
        <f t="shared" si="16"/>
        <v>#N/A</v>
      </c>
      <c r="V40" s="55" t="e">
        <f t="shared" ref="V40:V47" si="17">SUM(H40*AI40)</f>
        <v>#N/A</v>
      </c>
      <c r="W40" s="55" t="e">
        <f t="shared" ref="W40:W47" si="18">SUM(H40*AJ40)</f>
        <v>#N/A</v>
      </c>
      <c r="X40" s="55" t="s">
        <v>129</v>
      </c>
      <c r="Y40" s="55" t="s">
        <v>129</v>
      </c>
      <c r="Z40" s="55" t="s">
        <v>129</v>
      </c>
      <c r="AA40" s="55" t="s">
        <v>129</v>
      </c>
      <c r="AB40" s="55" t="s">
        <v>129</v>
      </c>
      <c r="AC40" s="55" t="s">
        <v>129</v>
      </c>
      <c r="AD40" s="55" t="s">
        <v>129</v>
      </c>
      <c r="AE40" s="55" t="s">
        <v>129</v>
      </c>
      <c r="AG40" s="18">
        <v>11.03</v>
      </c>
      <c r="AH40" s="15">
        <v>0.99270000000000003</v>
      </c>
      <c r="AI40" s="15">
        <v>1.9854000000000001</v>
      </c>
      <c r="AJ40" s="15">
        <v>0.99270000000000003</v>
      </c>
      <c r="AK40" s="18"/>
      <c r="AR40" s="10">
        <f>SUM(AR33)</f>
        <v>1.0746659504465186</v>
      </c>
      <c r="AS40" s="10">
        <f>SUM((E40)-((AR40*AH40)+(AT40*AJ40)))/AI40</f>
        <v>2.0107083514615396</v>
      </c>
      <c r="AT40" s="10">
        <f>SUM(AT8)</f>
        <v>0.64583333333333337</v>
      </c>
      <c r="AU40" s="10"/>
      <c r="AV40" s="10"/>
      <c r="AW40" s="10"/>
      <c r="AX40" t="s">
        <v>115</v>
      </c>
    </row>
    <row r="41" spans="2:50" x14ac:dyDescent="0.25">
      <c r="B41" s="33">
        <v>11.2</v>
      </c>
      <c r="C41" s="18"/>
      <c r="D41" s="34" t="s">
        <v>8</v>
      </c>
      <c r="E41" s="70">
        <v>5</v>
      </c>
      <c r="F41" s="17" t="e">
        <f>SUM(E41/(2000/11.2))*H41</f>
        <v>#N/A</v>
      </c>
      <c r="G41" s="110" t="e">
        <f>VLOOKUP(D41,'Fertilizer Calc'!$B$12:$E$21,4,FALSE)</f>
        <v>#N/A</v>
      </c>
      <c r="H41" s="27" t="e">
        <f t="shared" si="15"/>
        <v>#N/A</v>
      </c>
      <c r="I41" s="26">
        <v>7.0000000000000007E-2</v>
      </c>
      <c r="J41" s="26">
        <v>0.21</v>
      </c>
      <c r="K41" s="26">
        <v>7.0000000000000007E-2</v>
      </c>
      <c r="L41" s="13" t="s">
        <v>129</v>
      </c>
      <c r="M41" s="13" t="s">
        <v>129</v>
      </c>
      <c r="N41" s="26" t="s">
        <v>129</v>
      </c>
      <c r="O41" s="13" t="s">
        <v>129</v>
      </c>
      <c r="P41" s="13" t="s">
        <v>129</v>
      </c>
      <c r="Q41" s="13" t="s">
        <v>129</v>
      </c>
      <c r="R41" s="13" t="s">
        <v>129</v>
      </c>
      <c r="S41" s="13" t="s">
        <v>129</v>
      </c>
      <c r="U41" s="54" t="e">
        <f t="shared" si="16"/>
        <v>#N/A</v>
      </c>
      <c r="V41" s="54" t="e">
        <f t="shared" si="17"/>
        <v>#N/A</v>
      </c>
      <c r="W41" s="54" t="e">
        <f t="shared" si="18"/>
        <v>#N/A</v>
      </c>
      <c r="X41" s="54" t="s">
        <v>129</v>
      </c>
      <c r="Y41" s="54" t="s">
        <v>129</v>
      </c>
      <c r="Z41" s="54" t="s">
        <v>129</v>
      </c>
      <c r="AA41" s="54" t="s">
        <v>129</v>
      </c>
      <c r="AB41" s="54" t="s">
        <v>129</v>
      </c>
      <c r="AC41" s="54" t="s">
        <v>129</v>
      </c>
      <c r="AD41" s="54" t="s">
        <v>129</v>
      </c>
      <c r="AE41" s="54" t="s">
        <v>129</v>
      </c>
      <c r="AG41" s="18">
        <v>11.2</v>
      </c>
      <c r="AH41" s="15">
        <v>0.78400000000000003</v>
      </c>
      <c r="AI41" s="15">
        <v>2.3519999999999999</v>
      </c>
      <c r="AJ41" s="15">
        <v>0.78400000000000003</v>
      </c>
      <c r="AK41" s="18"/>
      <c r="AR41" s="52">
        <f>SUM(AR33)</f>
        <v>1.0746659504465186</v>
      </c>
      <c r="AS41" s="52">
        <f>SUM((E41)-((AR41*140)+(AT41*140)))/420</f>
        <v>-0.56159499935518875</v>
      </c>
      <c r="AT41" s="52">
        <f>SUM(AT8)</f>
        <v>0.64583333333333337</v>
      </c>
      <c r="AU41" s="52"/>
      <c r="AV41" s="52"/>
      <c r="AW41" s="52"/>
      <c r="AX41" t="s">
        <v>115</v>
      </c>
    </row>
    <row r="42" spans="2:50" x14ac:dyDescent="0.25">
      <c r="B42" s="33">
        <v>10.3</v>
      </c>
      <c r="C42" s="18"/>
      <c r="D42" s="34" t="s">
        <v>9</v>
      </c>
      <c r="E42" s="70">
        <v>5.25</v>
      </c>
      <c r="F42" s="17" t="e">
        <f>SUM(E42/(2000/10.3))*H42</f>
        <v>#N/A</v>
      </c>
      <c r="G42" s="110" t="e">
        <f>VLOOKUP(D42,'Fertilizer Calc'!$B$12:$E$21,4,FALSE)</f>
        <v>#N/A</v>
      </c>
      <c r="H42" s="27" t="e">
        <f t="shared" si="15"/>
        <v>#N/A</v>
      </c>
      <c r="I42" s="38">
        <v>0.04</v>
      </c>
      <c r="J42" s="38">
        <v>0.1</v>
      </c>
      <c r="K42" s="38">
        <v>0.1</v>
      </c>
      <c r="L42" s="37" t="s">
        <v>129</v>
      </c>
      <c r="M42" s="37" t="s">
        <v>129</v>
      </c>
      <c r="N42" s="38" t="s">
        <v>129</v>
      </c>
      <c r="O42" s="37" t="s">
        <v>129</v>
      </c>
      <c r="P42" s="37" t="s">
        <v>129</v>
      </c>
      <c r="Q42" s="37" t="s">
        <v>129</v>
      </c>
      <c r="R42" s="37" t="s">
        <v>129</v>
      </c>
      <c r="S42" s="37" t="s">
        <v>129</v>
      </c>
      <c r="U42" s="55" t="e">
        <f t="shared" si="16"/>
        <v>#N/A</v>
      </c>
      <c r="V42" s="55" t="e">
        <f t="shared" si="17"/>
        <v>#N/A</v>
      </c>
      <c r="W42" s="55" t="e">
        <f t="shared" si="18"/>
        <v>#N/A</v>
      </c>
      <c r="X42" s="55" t="s">
        <v>129</v>
      </c>
      <c r="Y42" s="55" t="s">
        <v>129</v>
      </c>
      <c r="Z42" s="55" t="s">
        <v>129</v>
      </c>
      <c r="AA42" s="55" t="s">
        <v>129</v>
      </c>
      <c r="AB42" s="55" t="s">
        <v>129</v>
      </c>
      <c r="AC42" s="55" t="s">
        <v>129</v>
      </c>
      <c r="AD42" s="55" t="s">
        <v>129</v>
      </c>
      <c r="AE42" s="55" t="s">
        <v>129</v>
      </c>
      <c r="AG42" s="18">
        <v>10.3</v>
      </c>
      <c r="AH42" s="15">
        <v>0.41199999999999998</v>
      </c>
      <c r="AI42" s="15">
        <v>1.03</v>
      </c>
      <c r="AJ42" s="15">
        <v>1.03</v>
      </c>
      <c r="AK42" s="18"/>
      <c r="AR42" s="10">
        <f>SUM(AR33)</f>
        <v>1.0746659504465186</v>
      </c>
      <c r="AS42" s="10">
        <f>SUM((E42)-((AR42*80)+(AT42*200)))/200</f>
        <v>-1.0494497135119409</v>
      </c>
      <c r="AT42" s="10">
        <f>SUM(AT8)</f>
        <v>0.64583333333333337</v>
      </c>
      <c r="AU42" s="10"/>
      <c r="AV42" s="10"/>
      <c r="AW42" s="10"/>
      <c r="AX42" t="s">
        <v>115</v>
      </c>
    </row>
    <row r="43" spans="2:50" x14ac:dyDescent="0.25">
      <c r="B43" s="33">
        <v>11.7</v>
      </c>
      <c r="C43" s="18"/>
      <c r="D43" s="34" t="s">
        <v>6</v>
      </c>
      <c r="E43" s="70">
        <v>6.5</v>
      </c>
      <c r="F43" s="17" t="e">
        <f>SUM(E43*H43)</f>
        <v>#N/A</v>
      </c>
      <c r="G43" s="110" t="e">
        <f>VLOOKUP(D43,'Fertilizer Calc'!$B$12:$E$21,4,FALSE)</f>
        <v>#N/A</v>
      </c>
      <c r="H43" s="27" t="e">
        <f t="shared" si="15"/>
        <v>#N/A</v>
      </c>
      <c r="I43" s="26">
        <v>0.03</v>
      </c>
      <c r="J43" s="26">
        <v>0.18</v>
      </c>
      <c r="K43" s="26">
        <v>0.18</v>
      </c>
      <c r="L43" s="13" t="s">
        <v>129</v>
      </c>
      <c r="M43" s="13" t="s">
        <v>129</v>
      </c>
      <c r="N43" s="26" t="s">
        <v>129</v>
      </c>
      <c r="O43" s="13" t="s">
        <v>129</v>
      </c>
      <c r="P43" s="13" t="s">
        <v>129</v>
      </c>
      <c r="Q43" s="13" t="s">
        <v>129</v>
      </c>
      <c r="R43" s="13" t="s">
        <v>129</v>
      </c>
      <c r="S43" s="13" t="s">
        <v>129</v>
      </c>
      <c r="U43" s="54" t="e">
        <f>SUM(H43*AH43)</f>
        <v>#N/A</v>
      </c>
      <c r="V43" s="54" t="e">
        <f>SUM(H43*AI43)</f>
        <v>#N/A</v>
      </c>
      <c r="W43" s="54" t="e">
        <f>SUM(H43*AJ43)</f>
        <v>#N/A</v>
      </c>
      <c r="X43" s="54" t="s">
        <v>129</v>
      </c>
      <c r="Y43" s="54" t="s">
        <v>129</v>
      </c>
      <c r="Z43" s="54" t="s">
        <v>129</v>
      </c>
      <c r="AA43" s="54" t="s">
        <v>129</v>
      </c>
      <c r="AB43" s="54" t="s">
        <v>129</v>
      </c>
      <c r="AC43" s="54" t="s">
        <v>129</v>
      </c>
      <c r="AD43" s="54" t="s">
        <v>129</v>
      </c>
      <c r="AE43" s="54" t="s">
        <v>129</v>
      </c>
      <c r="AG43" s="18">
        <v>11.7</v>
      </c>
      <c r="AH43" s="15">
        <v>0.35099999999999998</v>
      </c>
      <c r="AI43" s="15">
        <v>2.1059999999999999</v>
      </c>
      <c r="AJ43" s="15">
        <v>2.1059999999999999</v>
      </c>
      <c r="AK43" s="18"/>
      <c r="AR43" s="52">
        <f>SUM(AR33)</f>
        <v>1.0746659504465186</v>
      </c>
      <c r="AS43" s="52">
        <f>SUM((E43)-((AR43*AH43)+(AT43*AJ43)))/AI43</f>
        <v>2.261475428012</v>
      </c>
      <c r="AT43" s="52">
        <f>SUM(AT8)</f>
        <v>0.64583333333333337</v>
      </c>
      <c r="AU43" s="52"/>
      <c r="AV43" s="52"/>
      <c r="AW43" s="52"/>
      <c r="AX43" t="s">
        <v>115</v>
      </c>
    </row>
    <row r="44" spans="2:50" x14ac:dyDescent="0.25">
      <c r="B44" s="28">
        <v>11.1</v>
      </c>
      <c r="C44" s="18"/>
      <c r="D44" s="7" t="s">
        <v>21</v>
      </c>
      <c r="E44" s="70">
        <v>8.5</v>
      </c>
      <c r="F44" s="17" t="e">
        <f>SUM(E44*H44)</f>
        <v>#N/A</v>
      </c>
      <c r="G44" s="110" t="e">
        <f>VLOOKUP(D44,'Fertilizer Calc'!$B$12:$E$21,4,FALSE)</f>
        <v>#N/A</v>
      </c>
      <c r="H44" s="27" t="e">
        <f t="shared" si="15"/>
        <v>#N/A</v>
      </c>
      <c r="I44" s="38">
        <v>0.09</v>
      </c>
      <c r="J44" s="38">
        <v>0.24</v>
      </c>
      <c r="K44" s="38">
        <v>0.03</v>
      </c>
      <c r="L44" s="37" t="s">
        <v>129</v>
      </c>
      <c r="M44" s="37" t="s">
        <v>129</v>
      </c>
      <c r="N44" s="38" t="s">
        <v>129</v>
      </c>
      <c r="O44" s="37" t="s">
        <v>129</v>
      </c>
      <c r="P44" s="37" t="s">
        <v>129</v>
      </c>
      <c r="Q44" s="37" t="s">
        <v>129</v>
      </c>
      <c r="R44" s="37" t="s">
        <v>129</v>
      </c>
      <c r="S44" s="37" t="s">
        <v>129</v>
      </c>
      <c r="U44" s="55" t="e">
        <f t="shared" si="16"/>
        <v>#N/A</v>
      </c>
      <c r="V44" s="55" t="e">
        <f t="shared" si="17"/>
        <v>#N/A</v>
      </c>
      <c r="W44" s="55" t="e">
        <f t="shared" si="18"/>
        <v>#N/A</v>
      </c>
      <c r="X44" s="55" t="s">
        <v>129</v>
      </c>
      <c r="Y44" s="55" t="s">
        <v>129</v>
      </c>
      <c r="Z44" s="55" t="s">
        <v>129</v>
      </c>
      <c r="AA44" s="55" t="s">
        <v>129</v>
      </c>
      <c r="AB44" s="55" t="s">
        <v>129</v>
      </c>
      <c r="AC44" s="55" t="s">
        <v>129</v>
      </c>
      <c r="AD44" s="55" t="s">
        <v>129</v>
      </c>
      <c r="AE44" s="55" t="s">
        <v>129</v>
      </c>
      <c r="AG44" s="25">
        <v>11.1</v>
      </c>
      <c r="AH44" s="24">
        <v>0.999</v>
      </c>
      <c r="AI44" s="24">
        <v>2.6640000000000001</v>
      </c>
      <c r="AJ44" s="24">
        <v>0.33300000000000002</v>
      </c>
      <c r="AK44" s="18"/>
      <c r="AR44" s="10">
        <f>SUM(AR33)</f>
        <v>1.0746659504465186</v>
      </c>
      <c r="AS44" s="10">
        <f>SUM((E44)-((AR44*AH44)+(AT44*AJ44)))/AI44</f>
        <v>2.7069617926065797</v>
      </c>
      <c r="AT44" s="10">
        <f>SUM(AT8)</f>
        <v>0.64583333333333337</v>
      </c>
      <c r="AU44" s="10"/>
      <c r="AV44" s="10"/>
      <c r="AW44" s="10"/>
      <c r="AX44" t="s">
        <v>113</v>
      </c>
    </row>
    <row r="45" spans="2:50" x14ac:dyDescent="0.25">
      <c r="B45" s="28">
        <v>9.41</v>
      </c>
      <c r="C45" s="18"/>
      <c r="D45" s="7" t="s">
        <v>22</v>
      </c>
      <c r="E45" s="70">
        <v>6.1</v>
      </c>
      <c r="F45" s="17" t="e">
        <f>SUM(E45*H45)</f>
        <v>#N/A</v>
      </c>
      <c r="G45" s="110" t="e">
        <f>VLOOKUP(D45,'Fertilizer Calc'!$B$12:$E$21,4,FALSE)</f>
        <v>#N/A</v>
      </c>
      <c r="H45" s="27" t="e">
        <f t="shared" si="15"/>
        <v>#N/A</v>
      </c>
      <c r="I45" s="26">
        <v>0.02</v>
      </c>
      <c r="J45" s="26">
        <v>0.01</v>
      </c>
      <c r="K45" s="26">
        <v>0.06</v>
      </c>
      <c r="L45" s="13" t="s">
        <v>129</v>
      </c>
      <c r="M45" s="13" t="s">
        <v>129</v>
      </c>
      <c r="N45" s="26" t="s">
        <v>129</v>
      </c>
      <c r="O45" s="13" t="s">
        <v>129</v>
      </c>
      <c r="P45" s="13" t="s">
        <v>129</v>
      </c>
      <c r="Q45" s="13" t="s">
        <v>129</v>
      </c>
      <c r="R45" s="13" t="s">
        <v>129</v>
      </c>
      <c r="S45" s="13" t="s">
        <v>129</v>
      </c>
      <c r="U45" s="54" t="e">
        <f t="shared" si="16"/>
        <v>#N/A</v>
      </c>
      <c r="V45" s="54" t="e">
        <f t="shared" si="17"/>
        <v>#N/A</v>
      </c>
      <c r="W45" s="54" t="e">
        <f t="shared" si="18"/>
        <v>#N/A</v>
      </c>
      <c r="X45" s="54" t="s">
        <v>129</v>
      </c>
      <c r="Y45" s="54" t="s">
        <v>129</v>
      </c>
      <c r="Z45" s="54" t="s">
        <v>129</v>
      </c>
      <c r="AA45" s="54" t="s">
        <v>129</v>
      </c>
      <c r="AB45" s="54" t="s">
        <v>129</v>
      </c>
      <c r="AC45" s="54" t="s">
        <v>129</v>
      </c>
      <c r="AD45" s="54" t="s">
        <v>129</v>
      </c>
      <c r="AE45" s="54" t="s">
        <v>129</v>
      </c>
      <c r="AG45" s="25">
        <v>9.41</v>
      </c>
      <c r="AH45" s="24">
        <v>0.18820000000000001</v>
      </c>
      <c r="AI45" s="24">
        <v>9.4100000000000003E-2</v>
      </c>
      <c r="AJ45" s="24">
        <v>0.56459999999999999</v>
      </c>
      <c r="AK45" s="18"/>
      <c r="AR45" s="52">
        <f>SUM(AR33)</f>
        <v>1.0746659504465186</v>
      </c>
      <c r="AS45" s="52">
        <f>SUM(AS38)</f>
        <v>1.0074511910451416</v>
      </c>
      <c r="AT45" s="52">
        <f>SUM((E45)-((AR45*AH45)+(AS45*AI45)))/AJ45</f>
        <v>10.277978588467263</v>
      </c>
      <c r="AU45" s="52"/>
      <c r="AV45" s="52"/>
      <c r="AW45" s="52"/>
      <c r="AX45" t="s">
        <v>116</v>
      </c>
    </row>
    <row r="46" spans="2:50" x14ac:dyDescent="0.25">
      <c r="B46" s="28">
        <v>10.06</v>
      </c>
      <c r="C46" s="18"/>
      <c r="D46" s="7" t="s">
        <v>55</v>
      </c>
      <c r="E46" s="70">
        <v>6.25</v>
      </c>
      <c r="F46" s="17" t="e">
        <f>SUM(E46*H46)</f>
        <v>#N/A</v>
      </c>
      <c r="G46" s="110" t="e">
        <f>VLOOKUP(D46,'Fertilizer Calc'!$B$12:$E$21,4,FALSE)</f>
        <v>#N/A</v>
      </c>
      <c r="H46" s="27" t="e">
        <f t="shared" si="15"/>
        <v>#N/A</v>
      </c>
      <c r="I46" s="38" t="s">
        <v>129</v>
      </c>
      <c r="J46" s="38">
        <v>0</v>
      </c>
      <c r="K46" s="38">
        <v>0.1</v>
      </c>
      <c r="L46" s="37" t="s">
        <v>129</v>
      </c>
      <c r="M46" s="37" t="s">
        <v>129</v>
      </c>
      <c r="N46" s="38">
        <v>0.06</v>
      </c>
      <c r="O46" s="37" t="s">
        <v>129</v>
      </c>
      <c r="P46" s="37" t="s">
        <v>129</v>
      </c>
      <c r="Q46" s="37" t="s">
        <v>129</v>
      </c>
      <c r="R46" s="37" t="s">
        <v>129</v>
      </c>
      <c r="S46" s="37" t="s">
        <v>129</v>
      </c>
      <c r="U46" s="55" t="e">
        <f t="shared" si="16"/>
        <v>#N/A</v>
      </c>
      <c r="V46" s="55" t="e">
        <f t="shared" si="17"/>
        <v>#N/A</v>
      </c>
      <c r="W46" s="55" t="e">
        <f t="shared" si="18"/>
        <v>#N/A</v>
      </c>
      <c r="X46" s="55" t="s">
        <v>129</v>
      </c>
      <c r="Y46" s="55" t="s">
        <v>129</v>
      </c>
      <c r="Z46" s="55" t="e">
        <f>SUM(H46*AK46)</f>
        <v>#N/A</v>
      </c>
      <c r="AA46" s="55" t="s">
        <v>129</v>
      </c>
      <c r="AB46" s="55" t="s">
        <v>129</v>
      </c>
      <c r="AC46" s="55" t="s">
        <v>129</v>
      </c>
      <c r="AD46" s="55" t="s">
        <v>129</v>
      </c>
      <c r="AE46" s="55" t="s">
        <v>129</v>
      </c>
      <c r="AG46" s="25">
        <v>10.06</v>
      </c>
      <c r="AH46" s="24">
        <v>0.20119999999999999</v>
      </c>
      <c r="AI46" s="24">
        <v>0</v>
      </c>
      <c r="AJ46" s="24">
        <v>1.006</v>
      </c>
      <c r="AK46" s="15">
        <v>0.60360000000000003</v>
      </c>
      <c r="AR46" s="52">
        <f>SUM(AR33)</f>
        <v>1.0746659504465186</v>
      </c>
      <c r="AS46" s="52">
        <v>0</v>
      </c>
      <c r="AT46" s="52">
        <f>SUM((E46)-((AR46*AH46)+(AW46*AK46)))/AJ46</f>
        <v>5.5433236043351783</v>
      </c>
      <c r="AU46" s="10"/>
      <c r="AV46" s="10"/>
      <c r="AW46" s="10">
        <f>SUM(AW36)</f>
        <v>0.75744477271201238</v>
      </c>
      <c r="AX46" t="s">
        <v>113</v>
      </c>
    </row>
    <row r="47" spans="2:50" x14ac:dyDescent="0.25">
      <c r="B47" s="28">
        <v>10.7</v>
      </c>
      <c r="C47" s="18"/>
      <c r="D47" s="7" t="s">
        <v>23</v>
      </c>
      <c r="E47" s="70">
        <v>4.5</v>
      </c>
      <c r="F47" s="17" t="e">
        <f>SUM(E47*H47)</f>
        <v>#N/A</v>
      </c>
      <c r="G47" s="110" t="e">
        <f>VLOOKUP(D47,'Fertilizer Calc'!$B$12:$E$21,4,FALSE)</f>
        <v>#N/A</v>
      </c>
      <c r="H47" s="27" t="e">
        <f t="shared" si="15"/>
        <v>#N/A</v>
      </c>
      <c r="I47" s="26">
        <v>0.27</v>
      </c>
      <c r="J47" s="26">
        <v>0</v>
      </c>
      <c r="K47" s="26">
        <v>0</v>
      </c>
      <c r="L47" s="13" t="s">
        <v>129</v>
      </c>
      <c r="M47" s="13" t="s">
        <v>129</v>
      </c>
      <c r="N47" s="26">
        <v>0.01</v>
      </c>
      <c r="O47" s="13" t="s">
        <v>129</v>
      </c>
      <c r="P47" s="13" t="s">
        <v>129</v>
      </c>
      <c r="Q47" s="13" t="s">
        <v>129</v>
      </c>
      <c r="R47" s="13" t="s">
        <v>129</v>
      </c>
      <c r="S47" s="13" t="s">
        <v>129</v>
      </c>
      <c r="U47" s="54" t="e">
        <f t="shared" si="16"/>
        <v>#N/A</v>
      </c>
      <c r="V47" s="54" t="e">
        <f t="shared" si="17"/>
        <v>#N/A</v>
      </c>
      <c r="W47" s="54" t="e">
        <f t="shared" si="18"/>
        <v>#N/A</v>
      </c>
      <c r="X47" s="54" t="s">
        <v>129</v>
      </c>
      <c r="Y47" s="54" t="s">
        <v>129</v>
      </c>
      <c r="Z47" s="54" t="e">
        <f>SUM(H47*AK47)</f>
        <v>#N/A</v>
      </c>
      <c r="AA47" s="54" t="s">
        <v>129</v>
      </c>
      <c r="AB47" s="54" t="s">
        <v>129</v>
      </c>
      <c r="AC47" s="54" t="s">
        <v>129</v>
      </c>
      <c r="AD47" s="54" t="s">
        <v>129</v>
      </c>
      <c r="AE47" s="54" t="s">
        <v>129</v>
      </c>
      <c r="AG47" s="25">
        <v>10.7</v>
      </c>
      <c r="AH47" s="24">
        <v>2.8889999999999998</v>
      </c>
      <c r="AI47" s="24">
        <v>0</v>
      </c>
      <c r="AJ47" s="24">
        <v>0</v>
      </c>
      <c r="AK47" s="24">
        <v>0.107</v>
      </c>
      <c r="AR47" s="52">
        <f>SUM((E47)-(AW47*AK47))/AH47</f>
        <v>1.5295788886534494</v>
      </c>
      <c r="AS47" s="52"/>
      <c r="AT47" s="52"/>
      <c r="AU47" s="52"/>
      <c r="AV47" s="52"/>
      <c r="AW47" s="52">
        <f>SUM(AW36)</f>
        <v>0.75744477271201238</v>
      </c>
      <c r="AX47" t="s">
        <v>201</v>
      </c>
    </row>
    <row r="48" spans="2:50" x14ac:dyDescent="0.25">
      <c r="B48" s="63"/>
      <c r="C48" s="59"/>
      <c r="D48" s="7" t="s">
        <v>118</v>
      </c>
      <c r="E48" s="70">
        <v>0</v>
      </c>
      <c r="F48" s="17">
        <v>1</v>
      </c>
      <c r="G48" s="110" t="e">
        <f>VLOOKUP(D48,'Fertilizer Calc'!$B$12:$E$21,4,FALSE)</f>
        <v>#N/A</v>
      </c>
      <c r="H48" s="27" t="e">
        <f t="shared" si="15"/>
        <v>#N/A</v>
      </c>
      <c r="I48" s="38">
        <v>0.08</v>
      </c>
      <c r="J48" s="38">
        <v>0.2</v>
      </c>
      <c r="K48" s="38">
        <v>0.05</v>
      </c>
      <c r="L48" s="37" t="s">
        <v>129</v>
      </c>
      <c r="M48" s="37" t="s">
        <v>129</v>
      </c>
      <c r="N48" s="38">
        <v>0.04</v>
      </c>
      <c r="O48" s="37" t="s">
        <v>129</v>
      </c>
      <c r="P48" s="37" t="s">
        <v>129</v>
      </c>
      <c r="Q48" s="37" t="s">
        <v>129</v>
      </c>
      <c r="R48" s="37" t="s">
        <v>129</v>
      </c>
      <c r="S48" s="37" t="s">
        <v>129</v>
      </c>
      <c r="U48" s="55" t="e">
        <f t="shared" si="16"/>
        <v>#N/A</v>
      </c>
      <c r="V48" s="55" t="e">
        <f>SUM(H48*AI48)</f>
        <v>#N/A</v>
      </c>
      <c r="W48" s="55" t="e">
        <f>SUM(H48*AJ48)</f>
        <v>#N/A</v>
      </c>
      <c r="X48" s="55" t="e">
        <f>SUM(H48*AK48)</f>
        <v>#N/A</v>
      </c>
      <c r="Y48" s="55" t="e">
        <f>SUM(H48*AL48)</f>
        <v>#N/A</v>
      </c>
      <c r="Z48" s="55" t="e">
        <f>SUM(H48*AM48)</f>
        <v>#N/A</v>
      </c>
      <c r="AA48" s="55" t="e">
        <f>SUM(H48*AN48)</f>
        <v>#N/A</v>
      </c>
      <c r="AB48" s="55" t="e">
        <f>SUM(H48*AO48)</f>
        <v>#N/A</v>
      </c>
      <c r="AC48" s="55" t="e">
        <f>SUM(H48*AP48)</f>
        <v>#N/A</v>
      </c>
      <c r="AD48" s="55" t="e">
        <f>SUM(H48*AQ48)</f>
        <v>#N/A</v>
      </c>
      <c r="AE48" s="55" t="e">
        <f>SUM(H48*AR48)</f>
        <v>#N/A</v>
      </c>
      <c r="AG48" s="25">
        <v>11</v>
      </c>
      <c r="AH48" s="24">
        <f>SUM(AG48*I48)</f>
        <v>0.88</v>
      </c>
      <c r="AI48" s="24">
        <f>SUM(AG48*J48)</f>
        <v>2.2000000000000002</v>
      </c>
      <c r="AJ48" s="24">
        <f>SUM(AG48*K48)</f>
        <v>0.55000000000000004</v>
      </c>
      <c r="AK48" s="24">
        <f>SUM(AG48*N48)</f>
        <v>0.44</v>
      </c>
      <c r="AR48" s="10"/>
      <c r="AS48" s="10"/>
      <c r="AT48" s="10"/>
      <c r="AU48" s="10"/>
      <c r="AV48" s="10"/>
      <c r="AW48" s="10"/>
    </row>
    <row r="49" spans="4:50" x14ac:dyDescent="0.25">
      <c r="D49" s="7" t="s">
        <v>204</v>
      </c>
      <c r="E49" s="70">
        <v>20.5</v>
      </c>
      <c r="F49" s="17">
        <f t="shared" ref="F49:F55" si="19">SUM(H49*0.25)*E49</f>
        <v>5.125</v>
      </c>
      <c r="G49" s="110">
        <f>VLOOKUP(D49,'Fertilizer Calc'!$B$12:$E$21,4,FALSE)</f>
        <v>1</v>
      </c>
      <c r="H49" s="27">
        <f t="shared" si="15"/>
        <v>1</v>
      </c>
      <c r="I49" s="26" t="s">
        <v>129</v>
      </c>
      <c r="J49" s="26" t="s">
        <v>129</v>
      </c>
      <c r="K49" s="26" t="s">
        <v>129</v>
      </c>
      <c r="L49" s="13" t="s">
        <v>129</v>
      </c>
      <c r="M49" s="13" t="s">
        <v>129</v>
      </c>
      <c r="N49" s="26" t="s">
        <v>129</v>
      </c>
      <c r="O49" s="13">
        <v>0.04</v>
      </c>
      <c r="P49" s="13" t="s">
        <v>129</v>
      </c>
      <c r="Q49" s="13" t="s">
        <v>129</v>
      </c>
      <c r="R49" s="13" t="s">
        <v>129</v>
      </c>
      <c r="S49" s="13" t="s">
        <v>129</v>
      </c>
      <c r="U49" s="54" t="s">
        <v>129</v>
      </c>
      <c r="V49" s="54" t="s">
        <v>129</v>
      </c>
      <c r="W49" s="54" t="s">
        <v>129</v>
      </c>
      <c r="X49" s="54" t="s">
        <v>129</v>
      </c>
      <c r="Y49" s="54" t="s">
        <v>129</v>
      </c>
      <c r="Z49" s="54" t="s">
        <v>129</v>
      </c>
      <c r="AA49" s="54">
        <f>SUM(H49*0.25)*AK49</f>
        <v>0.109</v>
      </c>
      <c r="AB49" s="54" t="s">
        <v>129</v>
      </c>
      <c r="AC49" s="54" t="s">
        <v>129</v>
      </c>
      <c r="AD49" s="54" t="s">
        <v>129</v>
      </c>
      <c r="AE49" s="54" t="s">
        <v>129</v>
      </c>
      <c r="AG49" s="1">
        <v>10.9</v>
      </c>
      <c r="AH49" s="1"/>
      <c r="AI49" s="1"/>
      <c r="AJ49" s="1"/>
      <c r="AK49" s="1">
        <f>SUM(O49*AG49)</f>
        <v>0.436</v>
      </c>
      <c r="AL49" s="1"/>
      <c r="AM49" s="1"/>
      <c r="AN49" s="1"/>
      <c r="AO49" s="1"/>
      <c r="AR49" s="52"/>
      <c r="AS49" s="52"/>
      <c r="AT49" s="52">
        <f>SUM(E49/AK49)</f>
        <v>47.018348623853214</v>
      </c>
      <c r="AU49" s="52"/>
      <c r="AV49" s="52"/>
      <c r="AW49" s="52"/>
      <c r="AX49" s="13"/>
    </row>
    <row r="50" spans="4:50" x14ac:dyDescent="0.25">
      <c r="D50" s="7" t="s">
        <v>127</v>
      </c>
      <c r="E50" s="70">
        <v>20</v>
      </c>
      <c r="F50" s="17" t="e">
        <f t="shared" si="19"/>
        <v>#N/A</v>
      </c>
      <c r="G50" s="110" t="e">
        <f>VLOOKUP(D50,'Fertilizer Calc'!$B$12:$E$21,4,FALSE)</f>
        <v>#N/A</v>
      </c>
      <c r="H50" s="27" t="e">
        <f t="shared" si="15"/>
        <v>#N/A</v>
      </c>
      <c r="I50" s="38" t="s">
        <v>129</v>
      </c>
      <c r="J50" s="38" t="s">
        <v>129</v>
      </c>
      <c r="K50" s="38" t="s">
        <v>129</v>
      </c>
      <c r="L50" s="37" t="s">
        <v>129</v>
      </c>
      <c r="M50" s="37" t="s">
        <v>129</v>
      </c>
      <c r="N50" s="38" t="s">
        <v>129</v>
      </c>
      <c r="O50" s="37">
        <v>0.1</v>
      </c>
      <c r="P50" s="37" t="s">
        <v>129</v>
      </c>
      <c r="Q50" s="37" t="s">
        <v>129</v>
      </c>
      <c r="R50" s="37" t="s">
        <v>129</v>
      </c>
      <c r="S50" s="37" t="s">
        <v>129</v>
      </c>
      <c r="U50" s="55" t="s">
        <v>129</v>
      </c>
      <c r="V50" s="55" t="s">
        <v>129</v>
      </c>
      <c r="W50" s="55" t="s">
        <v>129</v>
      </c>
      <c r="X50" s="55" t="s">
        <v>129</v>
      </c>
      <c r="Y50" s="55" t="s">
        <v>129</v>
      </c>
      <c r="Z50" s="55" t="s">
        <v>129</v>
      </c>
      <c r="AA50" s="55" t="e">
        <f>SUM(H50*0.25)*AK50</f>
        <v>#N/A</v>
      </c>
      <c r="AB50" s="55" t="s">
        <v>129</v>
      </c>
      <c r="AC50" s="55" t="s">
        <v>129</v>
      </c>
      <c r="AD50" s="55" t="s">
        <v>129</v>
      </c>
      <c r="AE50" s="55" t="s">
        <v>129</v>
      </c>
      <c r="AG50" s="1">
        <v>9.66</v>
      </c>
      <c r="AH50" s="1"/>
      <c r="AI50" s="1"/>
      <c r="AJ50" s="1"/>
      <c r="AK50" s="1">
        <f>SUM(O50*AG50)</f>
        <v>0.96600000000000008</v>
      </c>
      <c r="AL50" s="1"/>
      <c r="AM50" s="1"/>
      <c r="AN50" s="1"/>
      <c r="AO50" s="1"/>
      <c r="AR50" s="10"/>
      <c r="AS50" s="10"/>
      <c r="AT50" s="10">
        <f>SUM(E50/AK50)</f>
        <v>20.703933747412005</v>
      </c>
      <c r="AU50" s="10"/>
      <c r="AV50" s="10"/>
      <c r="AW50" s="10"/>
      <c r="AX50" s="1"/>
    </row>
    <row r="51" spans="4:50" x14ac:dyDescent="0.25">
      <c r="D51" s="7" t="s">
        <v>43</v>
      </c>
      <c r="E51" s="70">
        <v>20</v>
      </c>
      <c r="F51" s="17" t="e">
        <f t="shared" si="19"/>
        <v>#N/A</v>
      </c>
      <c r="G51" s="110" t="e">
        <f>VLOOKUP(D51,'Fertilizer Calc'!$B$12:$E$21,4,FALSE)</f>
        <v>#N/A</v>
      </c>
      <c r="H51" s="27" t="e">
        <f t="shared" si="15"/>
        <v>#N/A</v>
      </c>
      <c r="I51" s="26" t="s">
        <v>129</v>
      </c>
      <c r="J51" s="26" t="s">
        <v>129</v>
      </c>
      <c r="K51" s="26" t="s">
        <v>129</v>
      </c>
      <c r="L51" s="13" t="s">
        <v>129</v>
      </c>
      <c r="M51" s="13" t="s">
        <v>129</v>
      </c>
      <c r="N51" s="26" t="s">
        <v>129</v>
      </c>
      <c r="O51" s="13">
        <v>0.15</v>
      </c>
      <c r="P51" s="13" t="s">
        <v>129</v>
      </c>
      <c r="Q51" s="13" t="s">
        <v>129</v>
      </c>
      <c r="R51" s="13" t="s">
        <v>129</v>
      </c>
      <c r="S51" s="13" t="s">
        <v>129</v>
      </c>
      <c r="U51" s="54" t="s">
        <v>129</v>
      </c>
      <c r="V51" s="54" t="s">
        <v>129</v>
      </c>
      <c r="W51" s="54" t="s">
        <v>129</v>
      </c>
      <c r="X51" s="54" t="s">
        <v>129</v>
      </c>
      <c r="Y51" s="54" t="s">
        <v>129</v>
      </c>
      <c r="Z51" s="54" t="s">
        <v>129</v>
      </c>
      <c r="AA51" s="54" t="e">
        <f>SUM(H51*0.25)*AK51</f>
        <v>#N/A</v>
      </c>
      <c r="AB51" s="54" t="s">
        <v>129</v>
      </c>
      <c r="AC51" s="54" t="s">
        <v>129</v>
      </c>
      <c r="AD51" s="54" t="s">
        <v>129</v>
      </c>
      <c r="AE51" s="54" t="s">
        <v>129</v>
      </c>
      <c r="AG51" s="1">
        <v>11</v>
      </c>
      <c r="AH51" s="1"/>
      <c r="AI51" s="1"/>
      <c r="AJ51" s="1"/>
      <c r="AK51" s="1">
        <f>SUM(O51*AG51)</f>
        <v>1.65</v>
      </c>
      <c r="AL51" s="1"/>
      <c r="AM51" s="1"/>
      <c r="AN51" s="1"/>
      <c r="AO51" s="1"/>
      <c r="AR51" s="52"/>
      <c r="AS51" s="52"/>
      <c r="AT51" s="52">
        <f>SUM(E51/AK51)</f>
        <v>12.121212121212121</v>
      </c>
      <c r="AU51" s="52"/>
      <c r="AV51" s="52"/>
      <c r="AW51" s="52"/>
      <c r="AX51" s="13"/>
    </row>
    <row r="52" spans="4:50" x14ac:dyDescent="0.25">
      <c r="D52" s="7" t="s">
        <v>53</v>
      </c>
      <c r="E52" s="70">
        <v>14</v>
      </c>
      <c r="F52" s="17" t="e">
        <f t="shared" si="19"/>
        <v>#N/A</v>
      </c>
      <c r="G52" s="110" t="e">
        <f>VLOOKUP(D52,'Fertilizer Calc'!$B$12:$E$21,4,FALSE)</f>
        <v>#N/A</v>
      </c>
      <c r="H52" s="27" t="e">
        <f t="shared" si="15"/>
        <v>#N/A</v>
      </c>
      <c r="I52" s="38" t="s">
        <v>129</v>
      </c>
      <c r="J52" s="38" t="s">
        <v>129</v>
      </c>
      <c r="K52" s="38" t="s">
        <v>129</v>
      </c>
      <c r="L52" s="37" t="s">
        <v>129</v>
      </c>
      <c r="M52" s="37" t="s">
        <v>129</v>
      </c>
      <c r="N52" s="38" t="s">
        <v>129</v>
      </c>
      <c r="O52" s="37" t="s">
        <v>129</v>
      </c>
      <c r="P52" s="37" t="s">
        <v>129</v>
      </c>
      <c r="Q52" s="37" t="s">
        <v>129</v>
      </c>
      <c r="R52" s="37" t="s">
        <v>129</v>
      </c>
      <c r="S52" s="37">
        <v>0.1</v>
      </c>
      <c r="U52" s="55" t="s">
        <v>129</v>
      </c>
      <c r="V52" s="55" t="s">
        <v>129</v>
      </c>
      <c r="W52" s="55" t="s">
        <v>129</v>
      </c>
      <c r="X52" s="55" t="s">
        <v>129</v>
      </c>
      <c r="Y52" s="55" t="s">
        <v>129</v>
      </c>
      <c r="Z52" s="55" t="s">
        <v>129</v>
      </c>
      <c r="AA52" s="55" t="s">
        <v>129</v>
      </c>
      <c r="AB52" s="55" t="s">
        <v>129</v>
      </c>
      <c r="AC52" s="55" t="s">
        <v>129</v>
      </c>
      <c r="AD52" s="55" t="s">
        <v>129</v>
      </c>
      <c r="AE52" s="55" t="e">
        <f>SUM(H52*0.25)*AO52</f>
        <v>#N/A</v>
      </c>
      <c r="AG52" s="1">
        <v>11.2</v>
      </c>
      <c r="AH52" s="1"/>
      <c r="AI52" s="1"/>
      <c r="AJ52" s="1"/>
      <c r="AK52" s="1"/>
      <c r="AL52" s="1"/>
      <c r="AM52" s="1"/>
      <c r="AN52" s="1"/>
      <c r="AO52" s="1">
        <f>SUM(S52*AG52)</f>
        <v>1.1199999999999999</v>
      </c>
      <c r="AR52" s="10"/>
      <c r="AS52" s="10"/>
      <c r="AT52" s="10"/>
      <c r="AU52" s="10"/>
      <c r="AV52" s="10"/>
      <c r="AW52" s="10"/>
      <c r="AX52" s="10">
        <f>SUM(E52/AO52)</f>
        <v>12.500000000000002</v>
      </c>
    </row>
    <row r="53" spans="4:50" x14ac:dyDescent="0.25">
      <c r="D53" s="7" t="s">
        <v>52</v>
      </c>
      <c r="E53" s="70">
        <v>21.9</v>
      </c>
      <c r="F53" s="17" t="e">
        <f t="shared" si="19"/>
        <v>#N/A</v>
      </c>
      <c r="G53" s="110" t="e">
        <f>VLOOKUP(D53,'Fertilizer Calc'!$B$12:$E$21,4,FALSE)</f>
        <v>#N/A</v>
      </c>
      <c r="H53" s="27" t="e">
        <f t="shared" si="15"/>
        <v>#N/A</v>
      </c>
      <c r="I53" s="26" t="s">
        <v>129</v>
      </c>
      <c r="J53" s="26" t="s">
        <v>129</v>
      </c>
      <c r="K53" s="26" t="s">
        <v>129</v>
      </c>
      <c r="L53" s="13" t="s">
        <v>129</v>
      </c>
      <c r="M53" s="13" t="s">
        <v>129</v>
      </c>
      <c r="N53" s="26" t="s">
        <v>129</v>
      </c>
      <c r="O53" s="13" t="s">
        <v>129</v>
      </c>
      <c r="P53" s="13">
        <v>0.05</v>
      </c>
      <c r="Q53" s="13" t="s">
        <v>129</v>
      </c>
      <c r="R53" s="13" t="s">
        <v>129</v>
      </c>
      <c r="S53" s="13" t="s">
        <v>129</v>
      </c>
      <c r="U53" s="54" t="s">
        <v>129</v>
      </c>
      <c r="V53" s="54" t="s">
        <v>129</v>
      </c>
      <c r="W53" s="54" t="s">
        <v>129</v>
      </c>
      <c r="X53" s="54" t="s">
        <v>129</v>
      </c>
      <c r="Y53" s="54" t="s">
        <v>129</v>
      </c>
      <c r="Z53" s="54" t="s">
        <v>129</v>
      </c>
      <c r="AA53" s="54" t="s">
        <v>129</v>
      </c>
      <c r="AB53" s="54" t="e">
        <f>SUM(H53*0.25)*AL53</f>
        <v>#N/A</v>
      </c>
      <c r="AC53" s="54" t="s">
        <v>129</v>
      </c>
      <c r="AD53" s="54" t="s">
        <v>129</v>
      </c>
      <c r="AE53" s="54" t="s">
        <v>129</v>
      </c>
      <c r="AF53" s="16" t="s">
        <v>40</v>
      </c>
      <c r="AG53" s="1">
        <v>11</v>
      </c>
      <c r="AH53" s="1"/>
      <c r="AI53" s="1"/>
      <c r="AJ53" s="1"/>
      <c r="AK53" s="1"/>
      <c r="AL53" s="1">
        <f>SUM(P53*AG53)</f>
        <v>0.55000000000000004</v>
      </c>
      <c r="AM53" s="1"/>
      <c r="AN53" s="1"/>
      <c r="AO53" s="1"/>
      <c r="AR53" s="52"/>
      <c r="AS53" s="52"/>
      <c r="AT53" s="52"/>
      <c r="AU53" s="52">
        <f>SUM(E53/AL53)</f>
        <v>39.818181818181813</v>
      </c>
      <c r="AV53" s="52"/>
      <c r="AW53" s="52"/>
      <c r="AX53" s="13"/>
    </row>
    <row r="54" spans="4:50" x14ac:dyDescent="0.25">
      <c r="D54" s="7" t="s">
        <v>51</v>
      </c>
      <c r="E54" s="70">
        <v>22</v>
      </c>
      <c r="F54" s="14" t="e">
        <f t="shared" si="19"/>
        <v>#N/A</v>
      </c>
      <c r="G54" s="110" t="e">
        <f>VLOOKUP(D54,'Fertilizer Calc'!$B$12:$E$21,4,FALSE)</f>
        <v>#N/A</v>
      </c>
      <c r="H54" s="27" t="e">
        <f t="shared" si="15"/>
        <v>#N/A</v>
      </c>
      <c r="I54" s="38" t="s">
        <v>129</v>
      </c>
      <c r="J54" s="38" t="s">
        <v>129</v>
      </c>
      <c r="K54" s="38" t="s">
        <v>129</v>
      </c>
      <c r="L54" s="37">
        <v>2.5000000000000001E-3</v>
      </c>
      <c r="M54" s="37">
        <v>6.0000000000000001E-3</v>
      </c>
      <c r="N54" s="38" t="s">
        <v>129</v>
      </c>
      <c r="O54" s="37">
        <v>2.1399999999999999E-2</v>
      </c>
      <c r="P54" s="37">
        <v>4.1999999999999997E-3</v>
      </c>
      <c r="Q54" s="37">
        <v>5.0000000000000001E-3</v>
      </c>
      <c r="R54" s="37">
        <v>2.5000000000000001E-3</v>
      </c>
      <c r="S54" s="37">
        <v>8.0000000000000004E-4</v>
      </c>
      <c r="U54" s="55" t="s">
        <v>129</v>
      </c>
      <c r="V54" s="55" t="s">
        <v>129</v>
      </c>
      <c r="W54" s="55" t="s">
        <v>129</v>
      </c>
      <c r="X54" s="55" t="e">
        <f>SUM(H54*0.25)*AH54</f>
        <v>#N/A</v>
      </c>
      <c r="Y54" s="55" t="e">
        <f>SUM(H54*0.25)*AI54</f>
        <v>#N/A</v>
      </c>
      <c r="Z54" s="55" t="s">
        <v>129</v>
      </c>
      <c r="AA54" s="55" t="e">
        <f>SUM(H54*0.25)*AK54</f>
        <v>#N/A</v>
      </c>
      <c r="AB54" s="55" t="e">
        <f>SUM(H54*0.25)*AL54</f>
        <v>#N/A</v>
      </c>
      <c r="AC54" s="55" t="e">
        <f>SUM(H54*0.25)*AM54</f>
        <v>#N/A</v>
      </c>
      <c r="AD54" s="55" t="e">
        <f>SUM(H54*0.25)*AN54</f>
        <v>#N/A</v>
      </c>
      <c r="AE54" s="55" t="e">
        <f>SUM(H54*0.25)*AO54</f>
        <v>#N/A</v>
      </c>
      <c r="AG54" s="1">
        <v>9.93</v>
      </c>
      <c r="AH54" s="12">
        <f>SUM(L54*AG54)</f>
        <v>2.4825E-2</v>
      </c>
      <c r="AI54" s="12">
        <f>SUM(M54*AG54)</f>
        <v>5.9580000000000001E-2</v>
      </c>
      <c r="AJ54" s="12" t="e">
        <f>SUM(N54*AG54)</f>
        <v>#VALUE!</v>
      </c>
      <c r="AK54" s="12">
        <f>SUM(O54*AG54)</f>
        <v>0.212502</v>
      </c>
      <c r="AL54" s="12">
        <f>SUM(P54*AG54)</f>
        <v>4.1705999999999993E-2</v>
      </c>
      <c r="AM54" s="12">
        <f>SUM(Q54*AG54)</f>
        <v>4.965E-2</v>
      </c>
      <c r="AN54" s="12">
        <f>SUM(R54*AG54)</f>
        <v>2.4825E-2</v>
      </c>
      <c r="AO54" s="12">
        <f>SUM(S54*AG54)</f>
        <v>7.9439999999999997E-3</v>
      </c>
      <c r="AR54" s="10"/>
      <c r="AS54" s="10"/>
      <c r="AT54" s="10"/>
      <c r="AU54" s="10"/>
      <c r="AV54" s="10"/>
      <c r="AW54" s="10"/>
      <c r="AX54" s="1"/>
    </row>
    <row r="55" spans="4:50" x14ac:dyDescent="0.25">
      <c r="D55" s="7" t="s">
        <v>50</v>
      </c>
      <c r="E55" s="70">
        <v>23</v>
      </c>
      <c r="F55" s="14" t="e">
        <f t="shared" si="19"/>
        <v>#N/A</v>
      </c>
      <c r="G55" s="110" t="e">
        <f>VLOOKUP(D55,'Fertilizer Calc'!$B$12:$E$21,4,FALSE)</f>
        <v>#N/A</v>
      </c>
      <c r="H55" s="27" t="e">
        <f t="shared" si="15"/>
        <v>#N/A</v>
      </c>
      <c r="I55" s="26" t="s">
        <v>129</v>
      </c>
      <c r="J55" s="26" t="s">
        <v>129</v>
      </c>
      <c r="K55" s="26" t="s">
        <v>129</v>
      </c>
      <c r="L55" s="13">
        <v>3.0000000000000001E-3</v>
      </c>
      <c r="M55" s="13">
        <v>7.0000000000000001E-3</v>
      </c>
      <c r="N55" s="26" t="s">
        <v>129</v>
      </c>
      <c r="O55" s="13">
        <v>8.9999999999999993E-3</v>
      </c>
      <c r="P55" s="13">
        <v>5.0000000000000001E-3</v>
      </c>
      <c r="Q55" s="13">
        <v>6.0000000000000001E-3</v>
      </c>
      <c r="R55" s="13">
        <v>3.0000000000000001E-3</v>
      </c>
      <c r="S55" s="13">
        <v>1E-3</v>
      </c>
      <c r="U55" s="54" t="s">
        <v>129</v>
      </c>
      <c r="V55" s="54" t="s">
        <v>129</v>
      </c>
      <c r="W55" s="54" t="s">
        <v>129</v>
      </c>
      <c r="X55" s="54" t="e">
        <f>SUM(H55*0.25)*AH55</f>
        <v>#N/A</v>
      </c>
      <c r="Y55" s="54" t="e">
        <f>SUM(H55*0.25)*AI55</f>
        <v>#N/A</v>
      </c>
      <c r="Z55" s="54" t="s">
        <v>129</v>
      </c>
      <c r="AA55" s="54" t="e">
        <f>SUM(H55*0.25)*AK55</f>
        <v>#N/A</v>
      </c>
      <c r="AB55" s="54" t="e">
        <f>SUM(H55*0.25)*AL55</f>
        <v>#N/A</v>
      </c>
      <c r="AC55" s="54" t="e">
        <f>SUM(H55*0.25)*AM55</f>
        <v>#N/A</v>
      </c>
      <c r="AD55" s="54" t="e">
        <f>SUM(H55*0.25)*AN55</f>
        <v>#N/A</v>
      </c>
      <c r="AE55" s="54" t="e">
        <f>SUM(H55*0.25)*AO55</f>
        <v>#N/A</v>
      </c>
      <c r="AG55" s="1">
        <v>9.7200000000000006</v>
      </c>
      <c r="AH55" s="12">
        <f>SUM(L55*AG55)</f>
        <v>2.9160000000000002E-2</v>
      </c>
      <c r="AI55" s="12">
        <f>SUM(M55*AG55)</f>
        <v>6.8040000000000003E-2</v>
      </c>
      <c r="AJ55" s="12" t="e">
        <f>SUM(N55*AG55)</f>
        <v>#VALUE!</v>
      </c>
      <c r="AK55" s="12">
        <f>SUM(O55*AG55)</f>
        <v>8.7480000000000002E-2</v>
      </c>
      <c r="AL55" s="12">
        <f>SUM(P55*AG55)</f>
        <v>4.8600000000000004E-2</v>
      </c>
      <c r="AM55" s="12">
        <f>SUM(Q55*AG55)</f>
        <v>5.8320000000000004E-2</v>
      </c>
      <c r="AN55" s="12">
        <f>SUM(R55*AG55)</f>
        <v>2.9160000000000002E-2</v>
      </c>
      <c r="AO55" s="12">
        <f>SUM(S55*AG55)</f>
        <v>9.7200000000000012E-3</v>
      </c>
      <c r="AR55" s="52"/>
      <c r="AS55" s="52"/>
      <c r="AT55" s="52"/>
      <c r="AU55" s="52"/>
      <c r="AV55" s="52"/>
      <c r="AW55" s="52"/>
      <c r="AX55" s="13"/>
    </row>
    <row r="56" spans="4:50" x14ac:dyDescent="0.25">
      <c r="D56" s="7" t="s">
        <v>49</v>
      </c>
      <c r="E56" s="70">
        <v>25</v>
      </c>
      <c r="F56" s="14" t="e">
        <f>SUM(H56*0.25)*E56</f>
        <v>#N/A</v>
      </c>
      <c r="G56" s="110" t="e">
        <f>VLOOKUP(D56,'Fertilizer Calc'!$B$12:$E$21,4,FALSE)</f>
        <v>#N/A</v>
      </c>
      <c r="H56" s="27" t="e">
        <f t="shared" si="15"/>
        <v>#N/A</v>
      </c>
      <c r="I56" s="38" t="s">
        <v>129</v>
      </c>
      <c r="J56" s="38" t="s">
        <v>129</v>
      </c>
      <c r="K56" s="38" t="s">
        <v>129</v>
      </c>
      <c r="L56" s="37">
        <v>3.0000000000000001E-3</v>
      </c>
      <c r="M56" s="37">
        <v>7.0000000000000001E-3</v>
      </c>
      <c r="N56" s="38" t="s">
        <v>129</v>
      </c>
      <c r="O56" s="37">
        <v>8.9999999999999993E-3</v>
      </c>
      <c r="P56" s="37">
        <v>5.0000000000000001E-3</v>
      </c>
      <c r="Q56" s="37">
        <v>6.0000000000000001E-3</v>
      </c>
      <c r="R56" s="37">
        <v>8.9999999999999993E-3</v>
      </c>
      <c r="S56" s="37">
        <v>1E-3</v>
      </c>
      <c r="U56" s="55" t="s">
        <v>129</v>
      </c>
      <c r="V56" s="55" t="s">
        <v>129</v>
      </c>
      <c r="W56" s="55" t="s">
        <v>129</v>
      </c>
      <c r="X56" s="55" t="e">
        <f>SUM(H56*0.25)*AH56</f>
        <v>#N/A</v>
      </c>
      <c r="Y56" s="55" t="e">
        <f>SUM(H56*0.25)*AI56</f>
        <v>#N/A</v>
      </c>
      <c r="Z56" s="55" t="s">
        <v>129</v>
      </c>
      <c r="AA56" s="55" t="e">
        <f>SUM(H56*0.25)*AK56</f>
        <v>#N/A</v>
      </c>
      <c r="AB56" s="55" t="e">
        <f>SUM(H56*0.25)*AL56</f>
        <v>#N/A</v>
      </c>
      <c r="AC56" s="55" t="e">
        <f>SUM(H56*0.25)*AM56</f>
        <v>#N/A</v>
      </c>
      <c r="AD56" s="55" t="e">
        <f>SUM(H56*0.25)*AN56</f>
        <v>#N/A</v>
      </c>
      <c r="AE56" s="55" t="e">
        <f>SUM(H56*0.25)*AO56</f>
        <v>#N/A</v>
      </c>
      <c r="AG56" s="1">
        <v>9.89</v>
      </c>
      <c r="AH56" s="12">
        <f>SUM(L56*AG56)</f>
        <v>2.9670000000000002E-2</v>
      </c>
      <c r="AI56" s="12">
        <f>SUM(M56*AG56)</f>
        <v>6.923E-2</v>
      </c>
      <c r="AJ56" s="12" t="e">
        <f>SUM(N56*AG56)</f>
        <v>#VALUE!</v>
      </c>
      <c r="AK56" s="12">
        <f>SUM(O56*AG56)</f>
        <v>8.9009999999999992E-2</v>
      </c>
      <c r="AL56" s="12">
        <f>SUM(P56*AG56)</f>
        <v>4.9450000000000001E-2</v>
      </c>
      <c r="AM56" s="12">
        <f>SUM(Q56*AG56)</f>
        <v>5.9340000000000004E-2</v>
      </c>
      <c r="AN56" s="12">
        <f>SUM(R56*AG56)</f>
        <v>8.9009999999999992E-2</v>
      </c>
      <c r="AO56" s="12">
        <f>SUM(S56*AG56)</f>
        <v>9.8900000000000012E-3</v>
      </c>
      <c r="AR56" s="10"/>
      <c r="AS56" s="10"/>
      <c r="AT56" s="10"/>
      <c r="AU56" s="10"/>
      <c r="AV56" s="10"/>
      <c r="AW56" s="10"/>
      <c r="AX56" s="1"/>
    </row>
    <row r="57" spans="4:50" x14ac:dyDescent="0.25">
      <c r="D57" s="7" t="s">
        <v>48</v>
      </c>
      <c r="E57" s="70">
        <v>20.5</v>
      </c>
      <c r="F57" s="14" t="e">
        <f t="shared" ref="F57" si="20">SUM(H57*0.25)*E57</f>
        <v>#N/A</v>
      </c>
      <c r="G57" s="110" t="e">
        <f>VLOOKUP(D57,'Fertilizer Calc'!$B$12:$E$21,4,FALSE)</f>
        <v>#N/A</v>
      </c>
      <c r="H57" s="27" t="e">
        <f t="shared" si="15"/>
        <v>#N/A</v>
      </c>
      <c r="I57" s="26" t="s">
        <v>129</v>
      </c>
      <c r="J57" s="26" t="s">
        <v>129</v>
      </c>
      <c r="K57" s="26" t="s">
        <v>129</v>
      </c>
      <c r="L57" s="13" t="s">
        <v>129</v>
      </c>
      <c r="M57" s="13" t="s">
        <v>129</v>
      </c>
      <c r="N57" s="26" t="s">
        <v>129</v>
      </c>
      <c r="O57" s="13">
        <v>1.7999999999999999E-2</v>
      </c>
      <c r="P57" s="13">
        <v>1.2E-2</v>
      </c>
      <c r="Q57" s="13">
        <v>3.7000000000000002E-3</v>
      </c>
      <c r="R57" s="13">
        <v>2.5000000000000001E-3</v>
      </c>
      <c r="S57" s="13">
        <v>2.0000000000000001E-4</v>
      </c>
      <c r="U57" s="54" t="s">
        <v>129</v>
      </c>
      <c r="V57" s="54" t="s">
        <v>129</v>
      </c>
      <c r="W57" s="54" t="s">
        <v>129</v>
      </c>
      <c r="X57" s="54" t="s">
        <v>129</v>
      </c>
      <c r="Y57" s="54" t="s">
        <v>129</v>
      </c>
      <c r="Z57" s="54" t="s">
        <v>129</v>
      </c>
      <c r="AA57" s="54" t="e">
        <f>SUM(H57*0.25)*AK57</f>
        <v>#N/A</v>
      </c>
      <c r="AB57" s="54" t="e">
        <f>SUM(H57*0.25)*AL57</f>
        <v>#N/A</v>
      </c>
      <c r="AC57" s="54" t="e">
        <f>SUM(H57*0.25)*AM57</f>
        <v>#N/A</v>
      </c>
      <c r="AD57" s="54" t="e">
        <f>SUM(H57*0.25)*AN57</f>
        <v>#N/A</v>
      </c>
      <c r="AE57" s="54" t="e">
        <f>SUM(H57*0.25)*AO57</f>
        <v>#N/A</v>
      </c>
      <c r="AG57" s="1">
        <v>9.83</v>
      </c>
      <c r="AH57" s="12"/>
      <c r="AI57" s="12"/>
      <c r="AJ57" s="12"/>
      <c r="AK57" s="12">
        <f>SUM(O57*AG57)</f>
        <v>0.17693999999999999</v>
      </c>
      <c r="AL57" s="12">
        <f>SUM(P57*AG57)</f>
        <v>0.11796000000000001</v>
      </c>
      <c r="AM57" s="12">
        <f>SUM(Q57*AG57)</f>
        <v>3.6371000000000001E-2</v>
      </c>
      <c r="AN57" s="12">
        <f>SUM(R57*AG57)</f>
        <v>2.4575E-2</v>
      </c>
      <c r="AO57" s="12">
        <f>SUM(S57*AG57)</f>
        <v>1.9660000000000003E-3</v>
      </c>
      <c r="AR57" s="52"/>
      <c r="AS57" s="52"/>
      <c r="AT57" s="52"/>
      <c r="AU57" s="52"/>
      <c r="AV57" s="52"/>
      <c r="AW57" s="52"/>
      <c r="AX57" s="13"/>
    </row>
    <row r="58" spans="4:50" x14ac:dyDescent="0.25">
      <c r="D58" s="181" t="s">
        <v>47</v>
      </c>
      <c r="E58" s="181"/>
      <c r="F58" s="11" t="e">
        <f>SUM(F49:F57)</f>
        <v>#N/A</v>
      </c>
      <c r="G58" s="107"/>
      <c r="U58" s="53" t="e">
        <f>SUM(U33:U57)</f>
        <v>#N/A</v>
      </c>
      <c r="V58" s="53" t="e">
        <f t="shared" ref="V58:W58" si="21">SUM(V33:V57)</f>
        <v>#N/A</v>
      </c>
      <c r="W58" s="53" t="e">
        <f t="shared" si="21"/>
        <v>#N/A</v>
      </c>
      <c r="X58" s="5" t="e">
        <f t="shared" ref="X58:AE58" si="22">SUM(X49:X57)</f>
        <v>#N/A</v>
      </c>
      <c r="Y58" s="5" t="e">
        <f t="shared" si="22"/>
        <v>#N/A</v>
      </c>
      <c r="Z58" s="5">
        <f t="shared" si="22"/>
        <v>0</v>
      </c>
      <c r="AA58" s="5" t="e">
        <f t="shared" si="22"/>
        <v>#N/A</v>
      </c>
      <c r="AB58" s="5" t="e">
        <f t="shared" si="22"/>
        <v>#N/A</v>
      </c>
      <c r="AC58" s="5" t="e">
        <f t="shared" si="22"/>
        <v>#N/A</v>
      </c>
      <c r="AD58" s="5" t="e">
        <f t="shared" si="22"/>
        <v>#N/A</v>
      </c>
      <c r="AE58" s="5" t="e">
        <f t="shared" si="22"/>
        <v>#N/A</v>
      </c>
    </row>
  </sheetData>
  <mergeCells count="11">
    <mergeCell ref="D58:E58"/>
    <mergeCell ref="AI30:AI31"/>
    <mergeCell ref="AJ30:AJ31"/>
    <mergeCell ref="AK30:AK31"/>
    <mergeCell ref="D31:E31"/>
    <mergeCell ref="AH30:AH31"/>
    <mergeCell ref="H1:H2"/>
    <mergeCell ref="U1:AE1"/>
    <mergeCell ref="D29:E29"/>
    <mergeCell ref="H30:H31"/>
    <mergeCell ref="AG30:AG31"/>
  </mergeCells>
  <pageMargins left="0.25" right="0.25" top="0.5" bottom="0.5" header="0.3" footer="0.3"/>
  <pageSetup scale="49" fitToHeight="0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Fertilizer Calc</vt:lpstr>
      <vt:lpstr>Soil Test Reading</vt:lpstr>
      <vt:lpstr>Fertilizer Calc Pricing</vt:lpstr>
      <vt:lpstr>DryFertilizer</vt:lpstr>
      <vt:lpstr>LiquidFertilizer</vt:lpstr>
      <vt:lpstr>'Fertilizer Calc Pricing'!Print_Area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Wes Jepsen</dc:creator>
  <cp:lastModifiedBy>Danya Buseman</cp:lastModifiedBy>
  <cp:lastPrinted>2017-10-03T17:09:32Z</cp:lastPrinted>
  <dcterms:created xsi:type="dcterms:W3CDTF">2014-01-17T14:42:18Z</dcterms:created>
  <dcterms:modified xsi:type="dcterms:W3CDTF">2022-01-10T15:50:38Z</dcterms:modified>
</cp:coreProperties>
</file>